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uusoJoona\OneDrive - Soilfood Oy\Hankkeet\CAP reform\MMM CAP vaikuttavuusarviointi\"/>
    </mc:Choice>
  </mc:AlternateContent>
  <xr:revisionPtr revIDLastSave="0" documentId="13_ncr:1_{8B96B1E0-5C44-4CB2-8DFD-57E8D6466D32}" xr6:coauthVersionLast="47" xr6:coauthVersionMax="47" xr10:uidLastSave="{00000000-0000-0000-0000-000000000000}"/>
  <bookViews>
    <workbookView xWindow="-120" yWindow="-120" windowWidth="24240" windowHeight="13140" firstSheet="2" activeTab="6" xr2:uid="{00000000-000D-0000-FFFF-FFFF00000000}"/>
  </bookViews>
  <sheets>
    <sheet name="Lue tämä ensin" sheetId="22" r:id="rId1"/>
    <sheet name="toimet" sheetId="1" r:id="rId2"/>
    <sheet name="kokooma" sheetId="20" r:id="rId3"/>
    <sheet name="nurmet_kerääjäk_maanparannusk" sheetId="3" r:id="rId4"/>
    <sheet name="lietelannan sijoittaminen" sheetId="21" r:id="rId5"/>
    <sheet name="huuhtouma" sheetId="11" r:id="rId6"/>
    <sheet name="raivaus" sheetId="2" r:id="rId7"/>
    <sheet name="valumavesien_hallinta" sheetId="12" r:id="rId8"/>
    <sheet name="kosteikot" sheetId="17" r:id="rId9"/>
    <sheet name="org&amp;wetland_päästökertoimet" sheetId="8" r:id="rId10"/>
    <sheet name="CRF4.1" sheetId="14" r:id="rId11"/>
    <sheet name="CRF4A" sheetId="13" r:id="rId12"/>
    <sheet name="CRF4(II)" sheetId="16" r:id="rId13"/>
    <sheet name="CRF4(III)" sheetId="15" r:id="rId14"/>
    <sheet name="CRF4B" sheetId="5" r:id="rId15"/>
    <sheet name="CRF3D" sheetId="6" r:id="rId16"/>
    <sheet name="ympkorv_maatalousmaan_" sheetId="10" r:id="rId17"/>
    <sheet name="GWP" sheetId="7" r:id="rId18"/>
  </sheets>
  <externalReferences>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2" l="1"/>
  <c r="D49" i="2"/>
  <c r="E49" i="2"/>
  <c r="F49" i="2"/>
  <c r="G49" i="2"/>
  <c r="B49" i="2"/>
  <c r="F25" i="2"/>
  <c r="E25" i="2"/>
  <c r="D25" i="2"/>
  <c r="C25" i="2"/>
  <c r="B25" i="2"/>
  <c r="B13" i="2" l="1"/>
  <c r="F19" i="11" l="1"/>
  <c r="B19" i="11"/>
  <c r="H19" i="11" s="1"/>
  <c r="E19" i="11"/>
  <c r="B18" i="11"/>
  <c r="E18" i="11"/>
  <c r="F18" i="11" s="1"/>
  <c r="H18" i="11" s="1"/>
  <c r="G18" i="11" s="1"/>
  <c r="N20" i="8"/>
  <c r="G19" i="11" l="1"/>
  <c r="K9" i="3"/>
  <c r="J15" i="8"/>
  <c r="K15" i="8"/>
  <c r="J17" i="8"/>
  <c r="K17" i="8"/>
  <c r="J2" i="8"/>
  <c r="K2" i="8"/>
  <c r="J3" i="8"/>
  <c r="K3" i="8"/>
  <c r="J4" i="8"/>
  <c r="K4" i="8"/>
  <c r="J6" i="8"/>
  <c r="K6" i="8"/>
  <c r="J7" i="8"/>
  <c r="K7" i="8"/>
  <c r="J8" i="8"/>
  <c r="K8" i="8"/>
  <c r="J10" i="8"/>
  <c r="K10" i="8"/>
  <c r="J11" i="8"/>
  <c r="K11" i="8"/>
  <c r="K12" i="8"/>
  <c r="J12" i="8"/>
  <c r="K13" i="8"/>
  <c r="K14" i="8"/>
  <c r="J14" i="8"/>
  <c r="J20" i="8" s="1"/>
  <c r="J13" i="8"/>
  <c r="N14" i="8"/>
  <c r="N13" i="8"/>
  <c r="K20" i="8" l="1"/>
  <c r="K19" i="8"/>
  <c r="I19" i="8" s="1"/>
  <c r="J19" i="8"/>
  <c r="H19" i="8" s="1"/>
  <c r="B7" i="21" l="1"/>
  <c r="B1" i="21"/>
  <c r="B10" i="21" l="1"/>
  <c r="B11" i="21"/>
  <c r="B12" i="21" l="1"/>
  <c r="B14" i="21" s="1"/>
  <c r="C28" i="20" s="1"/>
  <c r="B13" i="21"/>
  <c r="B15" i="21" s="1"/>
  <c r="D28" i="20" s="1"/>
  <c r="B15" i="11" l="1"/>
  <c r="D27" i="20"/>
  <c r="C27" i="20"/>
  <c r="E6" i="1"/>
  <c r="P11" i="3"/>
  <c r="B6" i="11" l="1"/>
  <c r="B16" i="11"/>
  <c r="B12" i="11"/>
  <c r="B3" i="11"/>
  <c r="D11" i="11"/>
  <c r="B11" i="11" s="1"/>
  <c r="E12" i="11"/>
  <c r="F12" i="11" s="1"/>
  <c r="E3" i="11"/>
  <c r="F3" i="11" s="1"/>
  <c r="H12" i="11" l="1"/>
  <c r="G12" i="11" s="1"/>
  <c r="D25" i="20" s="1"/>
  <c r="C25" i="20"/>
  <c r="H3" i="11"/>
  <c r="G3" i="11" s="1"/>
  <c r="F26" i="2" l="1"/>
  <c r="F30" i="2" l="1"/>
  <c r="F40" i="2"/>
  <c r="S14" i="17"/>
  <c r="F17" i="6"/>
  <c r="R12" i="17" s="1"/>
  <c r="S12" i="17" s="1"/>
  <c r="R13" i="17" l="1"/>
  <c r="S13" i="17" s="1"/>
  <c r="L7" i="17"/>
  <c r="L12" i="17" s="1"/>
  <c r="M7" i="17"/>
  <c r="M12" i="17" s="1"/>
  <c r="N7" i="17"/>
  <c r="N12" i="17" s="1"/>
  <c r="J7" i="17"/>
  <c r="K7" i="17"/>
  <c r="K12" i="17" s="1"/>
  <c r="O7" i="17" l="1"/>
  <c r="J12" i="17"/>
  <c r="O12" i="17" s="1"/>
  <c r="Q12" i="17" l="1"/>
  <c r="T12" i="17"/>
  <c r="U12" i="17" s="1"/>
  <c r="K5" i="17"/>
  <c r="L5" i="17"/>
  <c r="M5" i="17"/>
  <c r="N5" i="17"/>
  <c r="K6" i="17"/>
  <c r="L6" i="17"/>
  <c r="M6" i="17"/>
  <c r="N6" i="17"/>
  <c r="J6" i="17"/>
  <c r="J5" i="17"/>
  <c r="C3" i="17"/>
  <c r="D3" i="17"/>
  <c r="E3" i="17"/>
  <c r="F3" i="17"/>
  <c r="L8" i="17" l="1"/>
  <c r="L13" i="17" s="1"/>
  <c r="K8" i="17"/>
  <c r="K13" i="17" s="1"/>
  <c r="M8" i="17"/>
  <c r="M13" i="17" s="1"/>
  <c r="J8" i="17"/>
  <c r="J13" i="17" s="1"/>
  <c r="N8" i="17"/>
  <c r="N13" i="17" s="1"/>
  <c r="K9" i="17"/>
  <c r="K14" i="17" s="1"/>
  <c r="N9" i="17"/>
  <c r="N14" i="17" s="1"/>
  <c r="L9" i="17"/>
  <c r="L14" i="17" s="1"/>
  <c r="J9" i="17"/>
  <c r="J14" i="17" s="1"/>
  <c r="M9" i="17"/>
  <c r="M14" i="17" s="1"/>
  <c r="O14" i="17" l="1"/>
  <c r="Q14" i="17" s="1"/>
  <c r="O13" i="17"/>
  <c r="O9" i="17"/>
  <c r="O8" i="17"/>
  <c r="T14" i="17" l="1"/>
  <c r="U14" i="17" s="1"/>
  <c r="Q13" i="17"/>
  <c r="T13" i="17"/>
  <c r="U13" i="17" s="1"/>
  <c r="B15" i="17" s="1"/>
  <c r="B16" i="17" s="1"/>
  <c r="B17" i="11"/>
  <c r="E17" i="11"/>
  <c r="F17" i="11" s="1"/>
  <c r="B18" i="17" l="1"/>
  <c r="C33" i="20" s="1"/>
  <c r="H17" i="11"/>
  <c r="B17" i="17" s="1"/>
  <c r="D33" i="20" s="1"/>
  <c r="A5" i="12"/>
  <c r="C5" i="12" s="1"/>
  <c r="E9" i="12"/>
  <c r="E8" i="12"/>
  <c r="E16" i="11"/>
  <c r="F16" i="11" s="1"/>
  <c r="H16" i="11" s="1"/>
  <c r="K8" i="3" s="1"/>
  <c r="C4" i="12"/>
  <c r="C3" i="12"/>
  <c r="B17" i="2" l="1"/>
  <c r="B16" i="2" l="1"/>
  <c r="E4" i="11" l="1"/>
  <c r="F4" i="11" s="1"/>
  <c r="E8" i="11" l="1"/>
  <c r="F8" i="11" s="1"/>
  <c r="E5" i="11"/>
  <c r="F5" i="11"/>
  <c r="H5" i="11" s="1"/>
  <c r="G5" i="11" s="1"/>
  <c r="E11" i="11" l="1"/>
  <c r="F11" i="11" s="1"/>
  <c r="E6" i="11"/>
  <c r="F6" i="11" s="1"/>
  <c r="E2" i="11"/>
  <c r="F2" i="11" s="1"/>
  <c r="C2" i="20" s="1"/>
  <c r="H6" i="11" l="1"/>
  <c r="G6" i="11" s="1"/>
  <c r="D7" i="20" s="1"/>
  <c r="C7" i="20"/>
  <c r="H11" i="11"/>
  <c r="G11" i="11" s="1"/>
  <c r="C23" i="20"/>
  <c r="H2" i="11"/>
  <c r="G2" i="11" s="1"/>
  <c r="B22" i="2"/>
  <c r="B21" i="2"/>
  <c r="B12" i="2"/>
  <c r="E32" i="2" s="1"/>
  <c r="B15" i="2"/>
  <c r="D2" i="20" l="1"/>
  <c r="B32" i="2"/>
  <c r="C32" i="2"/>
  <c r="D33" i="2"/>
  <c r="C33" i="2"/>
  <c r="D32" i="2"/>
  <c r="F41" i="2"/>
  <c r="B33" i="2"/>
  <c r="F33" i="2"/>
  <c r="F32" i="2"/>
  <c r="E33" i="2"/>
  <c r="C15" i="2"/>
  <c r="F36" i="2" l="1"/>
  <c r="F45" i="2" s="1"/>
  <c r="F51" i="2" l="1"/>
  <c r="J4" i="5"/>
  <c r="R9" i="17" s="1"/>
  <c r="L11" i="3" l="1"/>
  <c r="H2" i="12" l="1"/>
  <c r="K2" i="12" s="1"/>
  <c r="I2" i="12"/>
  <c r="D30" i="20" l="1"/>
  <c r="J2" i="12"/>
  <c r="C30" i="20" s="1"/>
  <c r="M2" i="12"/>
  <c r="P7" i="3"/>
  <c r="L10" i="3"/>
  <c r="E7" i="11"/>
  <c r="F7" i="11" s="1"/>
  <c r="E13" i="11"/>
  <c r="F13" i="11" s="1"/>
  <c r="E15" i="11"/>
  <c r="F15" i="11" s="1"/>
  <c r="E10" i="11"/>
  <c r="F10" i="11" s="1"/>
  <c r="H10" i="11" s="1"/>
  <c r="E9" i="11"/>
  <c r="F9" i="11" s="1"/>
  <c r="H9" i="11" s="1"/>
  <c r="K5" i="3" l="1"/>
  <c r="G9" i="11"/>
  <c r="H7" i="11"/>
  <c r="G7" i="11" s="1"/>
  <c r="D13" i="20" s="1"/>
  <c r="C13" i="20"/>
  <c r="K6" i="3"/>
  <c r="G10" i="11"/>
  <c r="H15" i="11"/>
  <c r="G15" i="11" s="1"/>
  <c r="D38" i="20" s="1"/>
  <c r="C38" i="20"/>
  <c r="F30" i="20"/>
  <c r="L2" i="12"/>
  <c r="E30" i="20" s="1"/>
  <c r="U6" i="3"/>
  <c r="U19" i="3"/>
  <c r="G8" i="3" l="1"/>
  <c r="U21" i="3"/>
  <c r="U23" i="3" s="1"/>
  <c r="V21" i="3"/>
  <c r="V23" i="3" s="1"/>
  <c r="E16" i="1" l="1"/>
  <c r="B9" i="3" s="1"/>
  <c r="D9" i="3" l="1"/>
  <c r="C9" i="3" s="1"/>
  <c r="G9" i="3" l="1"/>
  <c r="L9" i="3" s="1"/>
  <c r="B1" i="10"/>
  <c r="E11" i="1"/>
  <c r="E12" i="1"/>
  <c r="B11" i="3" s="1"/>
  <c r="G11" i="3" s="1"/>
  <c r="N11" i="3" s="1"/>
  <c r="E15" i="1"/>
  <c r="B8" i="3" s="1"/>
  <c r="AJ14" i="3"/>
  <c r="AJ15" i="3"/>
  <c r="F9" i="3" s="1"/>
  <c r="N17" i="8"/>
  <c r="C21" i="17" s="1"/>
  <c r="I16" i="8"/>
  <c r="K16" i="8" s="1"/>
  <c r="H16" i="8"/>
  <c r="G16" i="8"/>
  <c r="N16" i="8" s="1"/>
  <c r="N15" i="8"/>
  <c r="B21" i="17" s="1"/>
  <c r="P7" i="17" s="1"/>
  <c r="Q7" i="17" s="1"/>
  <c r="N19" i="8"/>
  <c r="N12" i="8"/>
  <c r="N11" i="8"/>
  <c r="N10" i="8"/>
  <c r="D14" i="12" s="1"/>
  <c r="I14" i="12" s="1"/>
  <c r="M14" i="12" s="1"/>
  <c r="N9" i="8"/>
  <c r="N8" i="8"/>
  <c r="N7" i="8"/>
  <c r="B20" i="2" s="1"/>
  <c r="C20" i="2" s="1"/>
  <c r="N6" i="8"/>
  <c r="B19" i="2" s="1"/>
  <c r="C19" i="2" s="1"/>
  <c r="N5" i="8"/>
  <c r="N4" i="8"/>
  <c r="N3" i="8"/>
  <c r="N2" i="8"/>
  <c r="L14" i="12" l="1"/>
  <c r="H30" i="20"/>
  <c r="E9" i="3"/>
  <c r="C22" i="17"/>
  <c r="C29" i="17" s="1"/>
  <c r="D29" i="17" s="1"/>
  <c r="E29" i="17" s="1"/>
  <c r="B22" i="17"/>
  <c r="Q11" i="3"/>
  <c r="E27" i="20" s="1"/>
  <c r="R11" i="3"/>
  <c r="F27" i="20" s="1"/>
  <c r="H27" i="20" s="1"/>
  <c r="D8" i="3"/>
  <c r="F8" i="3"/>
  <c r="L8" i="3"/>
  <c r="J16" i="8"/>
  <c r="W1" i="3"/>
  <c r="H9" i="3" s="1"/>
  <c r="N9" i="3" s="1"/>
  <c r="W2" i="3"/>
  <c r="J8" i="3" s="1"/>
  <c r="M8" i="3" s="1"/>
  <c r="C13" i="2"/>
  <c r="B14" i="2"/>
  <c r="C14" i="2" s="1"/>
  <c r="B13" i="11"/>
  <c r="H13" i="11" s="1"/>
  <c r="K10" i="3" s="1"/>
  <c r="M10" i="3" s="1"/>
  <c r="B10" i="3"/>
  <c r="P9" i="17" l="1"/>
  <c r="P8" i="17"/>
  <c r="Q8" i="17" s="1"/>
  <c r="H8" i="3"/>
  <c r="R9" i="3"/>
  <c r="F43" i="20" s="1"/>
  <c r="H43" i="20" s="1"/>
  <c r="Q9" i="3"/>
  <c r="E43" i="20" s="1"/>
  <c r="O8" i="3"/>
  <c r="C29" i="20" s="1"/>
  <c r="P8" i="3"/>
  <c r="D29" i="20" s="1"/>
  <c r="P10" i="3"/>
  <c r="D26" i="20" s="1"/>
  <c r="O10" i="3"/>
  <c r="C26" i="20" s="1"/>
  <c r="G10" i="3"/>
  <c r="N10" i="3" s="1"/>
  <c r="R10" i="3" s="1"/>
  <c r="F26" i="20" s="1"/>
  <c r="H26" i="20" s="1"/>
  <c r="J9" i="3"/>
  <c r="M9" i="3" s="1"/>
  <c r="Q9" i="17" l="1"/>
  <c r="S9" i="17"/>
  <c r="T9" i="17" s="1"/>
  <c r="U9" i="17" s="1"/>
  <c r="Q10" i="3"/>
  <c r="E26" i="20" s="1"/>
  <c r="P9" i="3"/>
  <c r="D43" i="20" s="1"/>
  <c r="O9" i="3"/>
  <c r="C43" i="20" s="1"/>
  <c r="K4" i="5"/>
  <c r="E4" i="5"/>
  <c r="R8" i="17" l="1"/>
  <c r="R7" i="17"/>
  <c r="V19" i="3"/>
  <c r="N8" i="3"/>
  <c r="C26" i="2"/>
  <c r="D26" i="2"/>
  <c r="E26" i="2"/>
  <c r="B26" i="2"/>
  <c r="L2" i="2"/>
  <c r="M2" i="2"/>
  <c r="N2" i="2"/>
  <c r="O2" i="2"/>
  <c r="L3" i="2"/>
  <c r="M3" i="2"/>
  <c r="N3" i="2"/>
  <c r="O3" i="2"/>
  <c r="K3" i="2"/>
  <c r="K2" i="2"/>
  <c r="D30" i="2" l="1"/>
  <c r="D40" i="2"/>
  <c r="B30" i="2"/>
  <c r="B35" i="2" s="1"/>
  <c r="B44" i="2" s="1"/>
  <c r="B40" i="2"/>
  <c r="E30" i="2"/>
  <c r="E40" i="2"/>
  <c r="C30" i="2"/>
  <c r="C40" i="2"/>
  <c r="C27" i="17"/>
  <c r="D27" i="17" s="1"/>
  <c r="E27" i="17" s="1"/>
  <c r="S7" i="17"/>
  <c r="T7" i="17" s="1"/>
  <c r="U7" i="17" s="1"/>
  <c r="C28" i="17"/>
  <c r="D28" i="17" s="1"/>
  <c r="E28" i="17" s="1"/>
  <c r="E30" i="17" s="1"/>
  <c r="H33" i="20" s="1"/>
  <c r="S8" i="17"/>
  <c r="T8" i="17" s="1"/>
  <c r="U8" i="17" s="1"/>
  <c r="B10" i="17" s="1"/>
  <c r="R8" i="3"/>
  <c r="F29" i="20" s="1"/>
  <c r="H29" i="20" s="1"/>
  <c r="Q8" i="3"/>
  <c r="E29" i="20" s="1"/>
  <c r="C41" i="2"/>
  <c r="C36" i="2"/>
  <c r="D41" i="2"/>
  <c r="D36" i="2"/>
  <c r="B41" i="2"/>
  <c r="B36" i="2"/>
  <c r="E41" i="2"/>
  <c r="E36" i="2"/>
  <c r="C35" i="2"/>
  <c r="F28" i="2"/>
  <c r="E28" i="2"/>
  <c r="D28" i="2"/>
  <c r="B28" i="2"/>
  <c r="C28" i="2"/>
  <c r="D5" i="1"/>
  <c r="C5" i="1"/>
  <c r="C44" i="2" l="1"/>
  <c r="C45" i="2"/>
  <c r="B11" i="17"/>
  <c r="E33" i="20" s="1"/>
  <c r="F33" i="20"/>
  <c r="B51" i="2"/>
  <c r="B45" i="2"/>
  <c r="C51" i="2"/>
  <c r="E51" i="2"/>
  <c r="D51" i="2"/>
  <c r="E39" i="2"/>
  <c r="E34" i="2"/>
  <c r="D39" i="2"/>
  <c r="D34" i="2"/>
  <c r="E45" i="2"/>
  <c r="D45" i="2"/>
  <c r="C39" i="2"/>
  <c r="C46" i="2" s="1"/>
  <c r="C34" i="2"/>
  <c r="F39" i="2"/>
  <c r="F34" i="2"/>
  <c r="E35" i="2"/>
  <c r="E44" i="2" s="1"/>
  <c r="B39" i="2"/>
  <c r="B46" i="2" s="1"/>
  <c r="B34" i="2"/>
  <c r="F35" i="2"/>
  <c r="F44" i="2" s="1"/>
  <c r="D35" i="2"/>
  <c r="D44" i="2" s="1"/>
  <c r="E5" i="1"/>
  <c r="D50" i="2" l="1"/>
  <c r="E50" i="2"/>
  <c r="B50" i="2"/>
  <c r="C50" i="2"/>
  <c r="F50" i="2"/>
  <c r="G45" i="2"/>
  <c r="G47" i="2" s="1"/>
  <c r="G51" i="2"/>
  <c r="H14" i="20" s="1"/>
  <c r="B4" i="11"/>
  <c r="H4" i="11" s="1"/>
  <c r="B3" i="3"/>
  <c r="F46" i="2"/>
  <c r="D46" i="2"/>
  <c r="H45" i="2"/>
  <c r="I45" i="2" s="1"/>
  <c r="J45" i="2" s="1"/>
  <c r="J47" i="2" s="1"/>
  <c r="E46" i="2"/>
  <c r="C10" i="1"/>
  <c r="E10" i="1" s="1"/>
  <c r="B7" i="3" s="1"/>
  <c r="C8" i="1"/>
  <c r="E8" i="1" s="1"/>
  <c r="B6" i="3" s="1"/>
  <c r="C7" i="1"/>
  <c r="E7" i="1" s="1"/>
  <c r="B5" i="3" s="1"/>
  <c r="D4" i="1"/>
  <c r="D3" i="1"/>
  <c r="C4" i="1"/>
  <c r="C3" i="1"/>
  <c r="G50" i="2" l="1"/>
  <c r="H3" i="20" s="1"/>
  <c r="F14" i="20"/>
  <c r="E14" i="20"/>
  <c r="C6" i="3"/>
  <c r="D6" i="3"/>
  <c r="F6" i="3" s="1"/>
  <c r="E3" i="1"/>
  <c r="O7" i="3"/>
  <c r="C7" i="3"/>
  <c r="D7" i="3"/>
  <c r="F7" i="3" s="1"/>
  <c r="E4" i="1"/>
  <c r="D3" i="3"/>
  <c r="C3" i="3"/>
  <c r="E3" i="3" s="1"/>
  <c r="D5" i="3"/>
  <c r="F5" i="3" s="1"/>
  <c r="C5" i="3"/>
  <c r="G4" i="11"/>
  <c r="K3" i="3"/>
  <c r="G46" i="2"/>
  <c r="G48" i="2" s="1"/>
  <c r="D3" i="20" s="1"/>
  <c r="H46" i="2"/>
  <c r="I46" i="2" s="1"/>
  <c r="J46" i="2" s="1"/>
  <c r="J48" i="2" s="1"/>
  <c r="C3" i="20" s="1"/>
  <c r="G44" i="2"/>
  <c r="F3" i="20" s="1"/>
  <c r="H44" i="2"/>
  <c r="I44" i="2" s="1"/>
  <c r="J44" i="2" s="1"/>
  <c r="E3" i="20" s="1"/>
  <c r="V20" i="3" l="1"/>
  <c r="V22" i="3"/>
  <c r="V24" i="3" s="1"/>
  <c r="F3" i="3"/>
  <c r="E5" i="3"/>
  <c r="G5" i="3"/>
  <c r="H5" i="3"/>
  <c r="J5" i="3"/>
  <c r="M5" i="3" s="1"/>
  <c r="H7" i="3"/>
  <c r="J7" i="3"/>
  <c r="H6" i="3"/>
  <c r="J6" i="3"/>
  <c r="M6" i="3" s="1"/>
  <c r="U22" i="3"/>
  <c r="U24" i="3" s="1"/>
  <c r="G3" i="3"/>
  <c r="U20" i="3"/>
  <c r="G7" i="3"/>
  <c r="E7" i="3"/>
  <c r="G6" i="3"/>
  <c r="E6" i="3"/>
  <c r="L6" i="3" l="1"/>
  <c r="N6" i="3"/>
  <c r="O6" i="3"/>
  <c r="C22" i="20" s="1"/>
  <c r="P6" i="3"/>
  <c r="D22" i="20" s="1"/>
  <c r="P5" i="3"/>
  <c r="D21" i="20" s="1"/>
  <c r="O5" i="3"/>
  <c r="C21" i="20" s="1"/>
  <c r="L7" i="3"/>
  <c r="N7" i="3"/>
  <c r="L3" i="3"/>
  <c r="J3" i="3"/>
  <c r="H3" i="3"/>
  <c r="N3" i="3" s="1"/>
  <c r="L5" i="3"/>
  <c r="N5" i="3"/>
  <c r="Q3" i="3" l="1"/>
  <c r="E5" i="20" s="1"/>
  <c r="R3" i="3"/>
  <c r="F5" i="20" s="1"/>
  <c r="R7" i="3"/>
  <c r="Q7" i="3"/>
  <c r="O4" i="3"/>
  <c r="C6" i="20" s="1"/>
  <c r="P4" i="3"/>
  <c r="M3" i="3"/>
  <c r="Q5" i="3"/>
  <c r="E21" i="20" s="1"/>
  <c r="R5" i="3"/>
  <c r="F21" i="20" s="1"/>
  <c r="H21" i="20" s="1"/>
  <c r="R6" i="3"/>
  <c r="F22" i="20" s="1"/>
  <c r="H22" i="20" s="1"/>
  <c r="Q6" i="3"/>
  <c r="E22" i="20" s="1"/>
  <c r="H5" i="20" l="1"/>
  <c r="F46" i="20" s="1"/>
  <c r="F44" i="20"/>
  <c r="P3" i="3"/>
  <c r="D5" i="20" s="1"/>
  <c r="D44" i="20" s="1"/>
  <c r="O3" i="3"/>
  <c r="C5" i="20" s="1"/>
  <c r="D46" i="20" l="1"/>
  <c r="D51" i="20"/>
  <c r="F5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Maanavilja Liisa (LUKE)</author>
  </authors>
  <commentList>
    <comment ref="C3" authorId="0" shapeId="0" xr:uid="{00000000-0006-0000-0200-000001000000}">
      <text>
        <r>
          <rPr>
            <b/>
            <sz val="9"/>
            <color indexed="81"/>
            <rFont val="Tahoma"/>
            <family val="2"/>
          </rPr>
          <t>Maanavilja Liisa (LUKE):</t>
        </r>
        <r>
          <rPr>
            <sz val="9"/>
            <color indexed="81"/>
            <rFont val="Tahoma"/>
            <family val="2"/>
          </rPr>
          <t xml:space="preserve">
per raivaamatta jätetty metsäha</t>
        </r>
      </text>
    </comment>
    <comment ref="E3" authorId="0" shapeId="0" xr:uid="{00000000-0006-0000-0200-000002000000}">
      <text>
        <r>
          <rPr>
            <b/>
            <sz val="9"/>
            <color indexed="81"/>
            <rFont val="Tahoma"/>
            <family val="2"/>
          </rPr>
          <t>Maanavilja Liisa (LUKE):</t>
        </r>
        <r>
          <rPr>
            <sz val="9"/>
            <color indexed="81"/>
            <rFont val="Tahoma"/>
            <family val="2"/>
          </rPr>
          <t xml:space="preserve">
per raivaamatta jätetty metsäha</t>
        </r>
      </text>
    </comment>
    <comment ref="D5" authorId="0" shapeId="0" xr:uid="{00000000-0006-0000-0200-000003000000}">
      <text>
        <r>
          <rPr>
            <b/>
            <sz val="9"/>
            <color indexed="81"/>
            <rFont val="Tahoma"/>
            <family val="2"/>
          </rPr>
          <t>Maanavilja Liisa (LUKE):</t>
        </r>
        <r>
          <rPr>
            <sz val="9"/>
            <color indexed="81"/>
            <rFont val="Tahoma"/>
            <family val="2"/>
          </rPr>
          <t xml:space="preserve">
</t>
        </r>
      </text>
    </comment>
    <comment ref="C6" authorId="0" shapeId="0" xr:uid="{00000000-0006-0000-0200-000004000000}">
      <text>
        <r>
          <rPr>
            <b/>
            <sz val="9"/>
            <color indexed="81"/>
            <rFont val="Tahoma"/>
            <family val="2"/>
          </rPr>
          <t>Maanavilja Liisa (LUKE):</t>
        </r>
        <r>
          <rPr>
            <sz val="9"/>
            <color indexed="81"/>
            <rFont val="Tahoma"/>
            <family val="2"/>
          </rPr>
          <t xml:space="preserve">
päällekkäinen GAEC4 kanssa, ei lasketa kokonaisvaikutusta</t>
        </r>
      </text>
    </comment>
    <comment ref="D21" authorId="0" shapeId="0" xr:uid="{00000000-0006-0000-0200-000005000000}">
      <text>
        <r>
          <rPr>
            <b/>
            <sz val="9"/>
            <color indexed="81"/>
            <rFont val="Tahoma"/>
            <family val="2"/>
          </rPr>
          <t>Maanavilja Liisa (LUKE):</t>
        </r>
        <r>
          <rPr>
            <sz val="9"/>
            <color indexed="81"/>
            <rFont val="Tahoma"/>
            <family val="2"/>
          </rPr>
          <t xml:space="preserve">
huuhtouma vähennetty kokonaissumman laskemista varten</t>
        </r>
      </text>
    </comment>
    <comment ref="D22" authorId="0" shapeId="0" xr:uid="{00000000-0006-0000-0200-000006000000}">
      <text>
        <r>
          <rPr>
            <b/>
            <sz val="9"/>
            <color indexed="81"/>
            <rFont val="Tahoma"/>
            <family val="2"/>
          </rPr>
          <t>Maanavilja Liisa (LUKE):</t>
        </r>
        <r>
          <rPr>
            <sz val="9"/>
            <color indexed="81"/>
            <rFont val="Tahoma"/>
            <family val="2"/>
          </rPr>
          <t xml:space="preserve">
huuhtouma vähennetty kokonaissumman laskemista varten</t>
        </r>
      </text>
    </comment>
    <comment ref="D23" authorId="0" shapeId="0" xr:uid="{00000000-0006-0000-0200-000007000000}">
      <text>
        <r>
          <rPr>
            <b/>
            <sz val="9"/>
            <color indexed="81"/>
            <rFont val="Tahoma"/>
            <family val="2"/>
          </rPr>
          <t>Maanavilja Liisa (LUKE):</t>
        </r>
        <r>
          <rPr>
            <sz val="9"/>
            <color indexed="81"/>
            <rFont val="Tahoma"/>
            <family val="2"/>
          </rPr>
          <t xml:space="preserve">
vain huuhtouma</t>
        </r>
      </text>
    </comment>
    <comment ref="B37" authorId="0" shapeId="0" xr:uid="{00000000-0006-0000-0200-000008000000}">
      <text>
        <r>
          <rPr>
            <b/>
            <sz val="9"/>
            <color indexed="81"/>
            <rFont val="Tahoma"/>
            <family val="2"/>
          </rPr>
          <t>Maanavilja Liisa (LUKE):</t>
        </r>
        <r>
          <rPr>
            <sz val="9"/>
            <color indexed="81"/>
            <rFont val="Tahoma"/>
            <family val="2"/>
          </rPr>
          <t xml:space="preserve">
koskee samaa toimenpidettä kuin kosteikkojen hoito -sopimus</t>
        </r>
      </text>
    </comment>
    <comment ref="B38" authorId="0" shapeId="0" xr:uid="{00000000-0006-0000-0200-000009000000}">
      <text>
        <r>
          <rPr>
            <b/>
            <sz val="9"/>
            <color indexed="81"/>
            <rFont val="Tahoma"/>
            <family val="2"/>
          </rPr>
          <t>Maanavilja Liisa (LUKE):</t>
        </r>
        <r>
          <rPr>
            <sz val="9"/>
            <color indexed="81"/>
            <rFont val="Tahoma"/>
            <family val="2"/>
          </rPr>
          <t xml:space="preserve">
vain huuhtoumapäästön vähenemä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Maanavilja Liisa (LUKE)</author>
  </authors>
  <commentList>
    <comment ref="R9" authorId="0" shapeId="0" xr:uid="{00000000-0006-0000-0300-000001000000}">
      <text>
        <r>
          <rPr>
            <b/>
            <sz val="9"/>
            <color indexed="81"/>
            <rFont val="Tahoma"/>
            <family val="2"/>
          </rPr>
          <t>Maanavilja Liisa (LUKE):</t>
        </r>
        <r>
          <rPr>
            <sz val="9"/>
            <color indexed="81"/>
            <rFont val="Tahoma"/>
            <family val="2"/>
          </rPr>
          <t xml:space="preserve">
päästölisäys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Maanavilja Liisa (LUKE)</author>
  </authors>
  <commentList>
    <comment ref="C19" authorId="0" shapeId="0" xr:uid="{00000000-0006-0000-0600-000001000000}">
      <text>
        <r>
          <rPr>
            <b/>
            <sz val="9"/>
            <color indexed="81"/>
            <rFont val="Tahoma"/>
            <family val="2"/>
          </rPr>
          <t>Maanavilja Liisa (LUKE):</t>
        </r>
        <r>
          <rPr>
            <sz val="9"/>
            <color indexed="81"/>
            <rFont val="Tahoma"/>
            <family val="2"/>
          </rPr>
          <t xml:space="preserve">
ei voi laskea vähennyksellä, koska metsän N2O-päästö lasketaan eri sektorille</t>
        </r>
      </text>
    </comment>
    <comment ref="C20" authorId="0" shapeId="0" xr:uid="{00000000-0006-0000-0600-000002000000}">
      <text>
        <r>
          <rPr>
            <b/>
            <sz val="9"/>
            <color indexed="81"/>
            <rFont val="Tahoma"/>
            <family val="2"/>
          </rPr>
          <t>Maanavilja Liisa (LUKE):</t>
        </r>
        <r>
          <rPr>
            <sz val="9"/>
            <color indexed="81"/>
            <rFont val="Tahoma"/>
            <family val="2"/>
          </rPr>
          <t xml:space="preserve">
ei voi laskea vähennyksellä, koska metsän N2O-päästö lasketaan eri sektorille</t>
        </r>
      </text>
    </comment>
    <comment ref="A38" authorId="0" shapeId="0" xr:uid="{00000000-0006-0000-0600-000003000000}">
      <text>
        <r>
          <rPr>
            <b/>
            <sz val="9"/>
            <color indexed="81"/>
            <rFont val="Tahoma"/>
            <family val="2"/>
          </rPr>
          <t>Maanavilja Liisa (LUKE):</t>
        </r>
        <r>
          <rPr>
            <sz val="9"/>
            <color indexed="81"/>
            <rFont val="Tahoma"/>
            <family val="2"/>
          </rPr>
          <t xml:space="preserve">
tämä päästö aiheutuu, kun ei raivata</t>
        </r>
      </text>
    </comment>
    <comment ref="G43" authorId="0" shapeId="0" xr:uid="{00000000-0006-0000-0600-000004000000}">
      <text>
        <r>
          <rPr>
            <b/>
            <sz val="9"/>
            <color indexed="81"/>
            <rFont val="Tahoma"/>
            <family val="2"/>
          </rPr>
          <t>Maanavilja Liisa (LUKE):</t>
        </r>
        <r>
          <rPr>
            <sz val="9"/>
            <color indexed="81"/>
            <rFont val="Tahoma"/>
            <family val="2"/>
          </rPr>
          <t xml:space="preserve">
voisi käyttää ominaisvaikuttavuutena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Maanavilja Liisa (LUKE)</author>
  </authors>
  <commentList>
    <comment ref="C2" authorId="0" shapeId="0" xr:uid="{00000000-0006-0000-0700-000001000000}">
      <text>
        <r>
          <rPr>
            <b/>
            <sz val="9"/>
            <color indexed="81"/>
            <rFont val="Tahoma"/>
            <family val="2"/>
          </rPr>
          <t>Maanavilja Liisa (LUKE):</t>
        </r>
        <r>
          <rPr>
            <sz val="9"/>
            <color indexed="81"/>
            <rFont val="Tahoma"/>
            <family val="2"/>
          </rPr>
          <t xml:space="preserve">
oletus, että näin paljon todella märkänä</t>
        </r>
      </text>
    </comment>
    <comment ref="C14" authorId="0" shapeId="0" xr:uid="{00000000-0006-0000-0700-000002000000}">
      <text>
        <r>
          <rPr>
            <b/>
            <sz val="9"/>
            <color indexed="81"/>
            <rFont val="Tahoma"/>
            <family val="2"/>
          </rPr>
          <t>Maanavilja Liisa (LUKE):</t>
        </r>
        <r>
          <rPr>
            <sz val="9"/>
            <color indexed="81"/>
            <rFont val="Tahoma"/>
            <family val="2"/>
          </rPr>
          <t xml:space="preserve">
oletus, että näin paljon todella märkänä</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Maanavilja Liisa (LUKE)</author>
  </authors>
  <commentList>
    <comment ref="J1" authorId="0" shapeId="0" xr:uid="{00000000-0006-0000-0800-000001000000}">
      <text>
        <r>
          <rPr>
            <b/>
            <sz val="9"/>
            <color indexed="81"/>
            <rFont val="Tahoma"/>
            <family val="2"/>
          </rPr>
          <t>Maanavilja Liisa (LUKE):</t>
        </r>
        <r>
          <rPr>
            <sz val="9"/>
            <color indexed="81"/>
            <rFont val="Tahoma"/>
            <family val="2"/>
          </rPr>
          <t xml:space="preserve">
CAP-kausi 2023-2027</t>
        </r>
      </text>
    </comment>
    <comment ref="N1" authorId="0" shapeId="0" xr:uid="{00000000-0006-0000-0800-000002000000}">
      <text>
        <r>
          <rPr>
            <b/>
            <sz val="9"/>
            <color indexed="81"/>
            <rFont val="Tahoma"/>
            <family val="2"/>
          </rPr>
          <t>Maanavilja Liisa (LUKE):</t>
        </r>
        <r>
          <rPr>
            <sz val="9"/>
            <color indexed="81"/>
            <rFont val="Tahoma"/>
            <family val="2"/>
          </rPr>
          <t xml:space="preserve">
CAP-kausi 2023-2027. Todennäköisesti siirtymäkausi sen jälkeen pari vuotta.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P12" authorId="0" shapeId="0" xr:uid="{00000000-0006-0000-0B00-000001000000}">
      <text>
        <r>
          <rPr>
            <sz val="11"/>
            <color theme="1"/>
            <rFont val="Calibri"/>
            <family val="2"/>
            <scheme val="minor"/>
          </rPr>
          <t>Dead wood is reported under soil organic matter.4A1, net carbon stock change in dead wood.Dead wood is reported under soil organic matter
.</t>
        </r>
      </text>
    </comment>
    <comment ref="Q12" authorId="0" shapeId="0" xr:uid="{00000000-0006-0000-0B00-000002000000}">
      <text>
        <r>
          <rPr>
            <sz val="11"/>
            <color theme="1"/>
            <rFont val="Calibri"/>
            <family val="2"/>
            <scheme val="minor"/>
          </rPr>
          <t>Litter is reported under soil organic matter.4A1, net carbon stock change in litter.Litter is reported under soil organic matter
.</t>
        </r>
      </text>
    </comment>
    <comment ref="Q15" authorId="0" shapeId="0" xr:uid="{00000000-0006-0000-0B00-000003000000}">
      <text>
        <r>
          <rPr>
            <sz val="11"/>
            <color theme="1"/>
            <rFont val="Calibri"/>
            <family val="2"/>
            <scheme val="minor"/>
          </rPr>
          <t>Litter is reported under soil organic matter.4.A.2 net carbon stock change in litter.Litter is reported under soil organic matter
.</t>
        </r>
      </text>
    </comment>
    <comment ref="Q17" authorId="0" shapeId="0" xr:uid="{00000000-0006-0000-0B00-000004000000}">
      <text>
        <r>
          <rPr>
            <sz val="11"/>
            <color theme="1"/>
            <rFont val="Calibri"/>
            <family val="2"/>
            <scheme val="minor"/>
          </rPr>
          <t>Litter is reported under soil organic matter.4.A.2 net carbon stock change in litter.Litter is reported under soil organic matter
.</t>
        </r>
      </text>
    </comment>
    <comment ref="Q19" authorId="0" shapeId="0" xr:uid="{00000000-0006-0000-0B00-000005000000}">
      <text>
        <r>
          <rPr>
            <sz val="11"/>
            <color theme="1"/>
            <rFont val="Calibri"/>
            <family val="2"/>
            <scheme val="minor"/>
          </rPr>
          <t>Litter is reported under soil organic matter.4.A.2 net carbon stock change in litter.Litter is reported under soil organic matter
.</t>
        </r>
      </text>
    </comment>
    <comment ref="Q20" authorId="0" shapeId="0" xr:uid="{00000000-0006-0000-0B00-000006000000}">
      <text>
        <r>
          <rPr>
            <sz val="11"/>
            <color theme="1"/>
            <rFont val="Calibri"/>
            <family val="2"/>
            <scheme val="minor"/>
          </rPr>
          <t>Litter is reported under soil organic matter.4.A.2 net carbon stock change in litter.Litter is reported under soil organic matter
.</t>
        </r>
      </text>
    </comment>
    <comment ref="Q22" authorId="0" shapeId="0" xr:uid="{00000000-0006-0000-0B00-000007000000}">
      <text>
        <r>
          <rPr>
            <sz val="11"/>
            <color theme="1"/>
            <rFont val="Calibri"/>
            <family val="2"/>
            <scheme val="minor"/>
          </rPr>
          <t>Litter is reported under soil organic matter.4.A.2 net carbon stock change in litter.Litter is reported under soil organic matter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G11" authorId="0" shapeId="0" xr:uid="{00000000-0006-0000-0C00-000001000000}">
      <text>
        <r>
          <rPr>
            <sz val="11"/>
            <color theme="1"/>
            <rFont val="Calibri"/>
            <family val="2"/>
            <scheme val="minor"/>
          </rPr>
          <t>CO2 emissions are reported in Table 4.A.CO2 emissions from drained organic forest land soils.CO2 emissions are reported in Table 4.A to avoid double counting
.</t>
        </r>
      </text>
    </comment>
    <comment ref="G19" authorId="0" shapeId="0" xr:uid="{00000000-0006-0000-0C00-000002000000}">
      <text>
        <r>
          <rPr>
            <sz val="11"/>
            <color theme="1"/>
            <rFont val="Calibri"/>
            <family val="2"/>
            <scheme val="minor"/>
          </rPr>
          <t>CO2 emissions are reported in Table 4.B..4(II).B Drainage and rewetting of Croplands.CO2 emissions are reported in Table 4.B to avoid double counting
.</t>
        </r>
      </text>
    </comment>
    <comment ref="G27" authorId="0" shapeId="0" xr:uid="{00000000-0006-0000-0C00-000003000000}">
      <text>
        <r>
          <rPr>
            <sz val="11"/>
            <color theme="1"/>
            <rFont val="Calibri"/>
            <family val="2"/>
            <scheme val="minor"/>
          </rPr>
          <t>CO2 emissions are reported in Table 4.C..4(II).C Drainage and rewetting of Grasslands.CO2 emissions are reported in Table 4.C to avoid double counting
.</t>
        </r>
      </text>
    </comment>
    <comment ref="I27" authorId="0" shapeId="0" xr:uid="{00000000-0006-0000-0C00-000004000000}">
      <text>
        <r>
          <rPr>
            <sz val="11"/>
            <color theme="1"/>
            <rFont val="Calibri"/>
            <family val="2"/>
            <scheme val="minor"/>
          </rPr>
          <t>These emissions are not estimated.4(II).C Drainage and rewetting of Grasslands.There is no method in 2006 IPCC Guidelines to report these CH4 emissions
.</t>
        </r>
      </text>
    </comment>
    <comment ref="G37" authorId="0" shapeId="0" xr:uid="{00000000-0006-0000-0C00-000005000000}">
      <text>
        <r>
          <rPr>
            <sz val="11"/>
            <color theme="1"/>
            <rFont val="Calibri"/>
            <family val="2"/>
            <scheme val="minor"/>
          </rPr>
          <t>CO2 emissions are reported in Table 4.D.4(II) D.2 CO2 emissions from drainage and rewetting of flooded lands.CO2 emissions are reported in Table 4.D
.</t>
        </r>
      </text>
    </comment>
    <comment ref="G54" authorId="0" shapeId="0" xr:uid="{00000000-0006-0000-0C00-000006000000}">
      <text>
        <r>
          <rPr>
            <sz val="11"/>
            <color theme="1"/>
            <rFont val="Calibri"/>
            <family val="2"/>
            <scheme val="minor"/>
          </rPr>
          <t>CO2 emissions are reported in Table 4.D.4(II) D.2 CO2 emissions from drainage and rewetting of flooded lands.CO2 emissions are reported in Table 4.D
.</t>
        </r>
      </text>
    </comment>
    <comment ref="G60" authorId="0" shapeId="0" xr:uid="{00000000-0006-0000-0C00-000007000000}">
      <text>
        <r>
          <rPr>
            <sz val="11"/>
            <color theme="1"/>
            <rFont val="Calibri"/>
            <family val="2"/>
            <scheme val="minor"/>
          </rPr>
          <t>CO2 emissions are reported in Table 4.D.4(II) CO2 emissions and removals from drainage and rewetting and other management of other wetlands.CO2 emissions are reported in Table 4.D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32" authorId="0" shapeId="0" xr:uid="{00000000-0006-0000-0D00-000001000000}">
      <text>
        <r>
          <rPr>
            <sz val="11"/>
            <color theme="1"/>
            <rFont val="Calibri"/>
            <family val="2"/>
            <scheme val="minor"/>
          </rPr>
          <t>All N2O emissions from Wetlands are reported in Table 4(II) to avoid double-counting.4(III) Direct N2O Emissions from N Mineralization/Immobilization.All N2O emissions from Wetlands are reported in Table 4(II) to avoid double-counting
.</t>
        </r>
      </text>
    </comment>
    <comment ref="D32" authorId="0" shapeId="0" xr:uid="{00000000-0006-0000-0D00-000002000000}">
      <text>
        <r>
          <rPr>
            <sz val="11"/>
            <color theme="1"/>
            <rFont val="Calibri"/>
            <family val="2"/>
            <scheme val="minor"/>
          </rPr>
          <t>All N2O emissions from Wetlands are reported in Table 4(II) to avoid double-counting.4(III) Direct N2O Emissions from N Mineralization/Immobilization.All N2O emissions from Wetlands are reported in Table 4(II) to avoid double-counting
.</t>
        </r>
      </text>
    </comment>
    <comment ref="B33" authorId="0" shapeId="0" xr:uid="{00000000-0006-0000-0D00-000003000000}">
      <text>
        <r>
          <rPr>
            <sz val="11"/>
            <color theme="1"/>
            <rFont val="Calibri"/>
            <family val="2"/>
            <scheme val="minor"/>
          </rPr>
          <t>All N2O emissions from Wetlands are reported in Table 4(II) to avoid double-counting.4(III) Direct N2O Emissions from N Mineralization/Immobilization.All N2O emissions from Wetlands are reported in Table 4(II) to avoid double-counting
.</t>
        </r>
      </text>
    </comment>
    <comment ref="D33" authorId="0" shapeId="0" xr:uid="{00000000-0006-0000-0D00-000004000000}">
      <text>
        <r>
          <rPr>
            <sz val="11"/>
            <color theme="1"/>
            <rFont val="Calibri"/>
            <family val="2"/>
            <scheme val="minor"/>
          </rPr>
          <t>All N2O emissions from Wetlands are reported in Table 4(II) to avoid double-counting.4(III) Direct N2O Emissions from N Mineralization/Immobilization.All N2O emissions from Wetlands are reported in Table 4(II) to avoid double-counting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O12" authorId="0" shapeId="0" xr:uid="{00000000-0006-0000-0E00-000001000000}">
      <text>
        <r>
          <rPr>
            <sz val="11"/>
            <color theme="1"/>
            <rFont val="Calibri"/>
            <family val="2"/>
            <scheme val="minor"/>
          </rPr>
          <t>Emissions from DOM are included in biomass loss.4.B.1 net carbon stock change in dead wood.Emissions from DOM are included in biomass loss
.</t>
        </r>
      </text>
    </comment>
    <comment ref="O17" authorId="0" shapeId="0" xr:uid="{00000000-0006-0000-0E00-000002000000}">
      <text>
        <r>
          <rPr>
            <sz val="11"/>
            <color theme="1"/>
            <rFont val="Calibri"/>
            <family val="2"/>
            <scheme val="minor"/>
          </rPr>
          <t>These CSCs are not estimated.4.B.2.2 Net CSC in dead organic matter in GL converted to CL.These emissions are considered insignificant
.</t>
        </r>
      </text>
    </comment>
    <comment ref="O19" authorId="0" shapeId="0" xr:uid="{00000000-0006-0000-0E00-000003000000}">
      <text>
        <r>
          <rPr>
            <sz val="11"/>
            <color theme="1"/>
            <rFont val="Calibri"/>
            <family val="2"/>
            <scheme val="minor"/>
          </rPr>
          <t>These CSCs are not estimated or are zero.4.B.2.3 Net CSC in dead organic matter in WL converted to CL.There is no national data or IPCC default EFs to estimate these CSCs. Most of the area is converted from peat extraction where there is no DOM
.</t>
        </r>
      </text>
    </comment>
    <comment ref="O21" authorId="0" shapeId="0" xr:uid="{00000000-0006-0000-0E00-000004000000}">
      <text>
        <r>
          <rPr>
            <sz val="11"/>
            <color theme="1"/>
            <rFont val="Calibri"/>
            <family val="2"/>
            <scheme val="minor"/>
          </rPr>
          <t>These CSCs are not estimated or are zero.4.B.2.4 Net CSC in dead organic matter in SE converted to CL.There is no national data or IPCC default EFs to estimate these CSCs. The CSC is considered insignificant because the area is very small. When notation key is NA there is no area change and thus no CSC that year
.</t>
        </r>
      </text>
    </comment>
  </commentList>
</comments>
</file>

<file path=xl/sharedStrings.xml><?xml version="1.0" encoding="utf-8"?>
<sst xmlns="http://schemas.openxmlformats.org/spreadsheetml/2006/main" count="1658" uniqueCount="648">
  <si>
    <t>toimenpide</t>
  </si>
  <si>
    <t>GAEC 1 pysyvä nurmi</t>
  </si>
  <si>
    <t>GAEC 2 raivauksen vähentäminen</t>
  </si>
  <si>
    <t>kiv/turve</t>
  </si>
  <si>
    <t>kiv</t>
  </si>
  <si>
    <t>turv</t>
  </si>
  <si>
    <t>laskennan kuvaus</t>
  </si>
  <si>
    <t>Jäsenmaalle vapaaehtoinen GAEC raivauksen vähentäminen</t>
  </si>
  <si>
    <t>raivaus turv</t>
  </si>
  <si>
    <t>raivaus kiv</t>
  </si>
  <si>
    <t>erotus</t>
  </si>
  <si>
    <t>ala 2023-2027 toimella</t>
  </si>
  <si>
    <t>GAEC 4 suojakaistat vesistöjen varrella</t>
  </si>
  <si>
    <t>ha-lisäys: (3 m * vesistöjen varsia maatalousmaalla) - ((ympäristösitoumuksen ala / koko maatalousmaan ala)*(3 m * vesistöjen varsia maatalousmaalla))</t>
  </si>
  <si>
    <t>GAEC 7 vähimmäismaanpeite</t>
  </si>
  <si>
    <t>talviaikainen kasvipeitteisyys, väh. Sänki: enintään x % tilan maatalousmaasta voidaan muokata raskaammin kuin kevyellä muokkauksella</t>
  </si>
  <si>
    <t>Luonnonhoitopeltonurmet</t>
  </si>
  <si>
    <t>Viherlannoitusnurmet</t>
  </si>
  <si>
    <t>Talviaikainen kasvipeite (sänki- ja kasvipeite)</t>
  </si>
  <si>
    <t>Monimuotoisuuskasvit</t>
  </si>
  <si>
    <t>Kerääjäkasvit</t>
  </si>
  <si>
    <t>Maanparannus- ja saneerauskasvit</t>
  </si>
  <si>
    <t>Kiertotalouden edistäminen</t>
  </si>
  <si>
    <t>Aiemmin yksivuotisilta kasveilta. Viiden vuoden ajan pelkkää nurmea verrattuna siihen, että olisi samoin kuin valtakunnassa keskimäärin.</t>
  </si>
  <si>
    <t>kumuloituva vähennys</t>
  </si>
  <si>
    <t>vuosittain</t>
  </si>
  <si>
    <t>raivaus yksivuotisille vähenee</t>
  </si>
  <si>
    <t>raivaus nurmelle vähenee</t>
  </si>
  <si>
    <t>kumuloituva raivaus yksivuotisille vähenee</t>
  </si>
  <si>
    <t>kumuloituva raivaus nurmelle vähenee</t>
  </si>
  <si>
    <t>suojakaistat</t>
  </si>
  <si>
    <t>kiv.maata</t>
  </si>
  <si>
    <t>toimi</t>
  </si>
  <si>
    <t>yht</t>
  </si>
  <si>
    <t>ala ha</t>
  </si>
  <si>
    <t>TABLE 4.B  SECTORAL BACKGROUND DATA FOR LAND USE, LAND-USE CHANGE AND FORESTRY</t>
  </si>
  <si>
    <t>Inventory 2019</t>
  </si>
  <si>
    <t>Cropland</t>
  </si>
  <si>
    <t>Submission 2021 v3</t>
  </si>
  <si>
    <t>(Sheet 1 of 1)</t>
  </si>
  <si>
    <t>turvemaan osuus</t>
  </si>
  <si>
    <t>FINLAND</t>
  </si>
  <si>
    <t>GREENHOUSE GAS SOURCE AND SINK CATEGORIES</t>
  </si>
  <si>
    <t>ACTIVITY DATA</t>
  </si>
  <si>
    <t>IMPLIED CARBON-STOCK-CHANGE FACTORS</t>
  </si>
  <si>
    <r>
      <t>CHANGES IN CARBON STOCK AND NET CO</t>
    </r>
    <r>
      <rPr>
        <b/>
        <vertAlign val="subscript"/>
        <sz val="9"/>
        <rFont val="Times New Roman"/>
        <family val="1"/>
      </rPr>
      <t>2</t>
    </r>
    <r>
      <rPr>
        <b/>
        <sz val="9"/>
        <rFont val="Times New Roman"/>
        <family val="1"/>
      </rPr>
      <t xml:space="preserve"> EMISSIONS/REMOVALS FROM SOILS</t>
    </r>
  </si>
  <si>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(4) (9)</t>
    </r>
  </si>
  <si>
    <t>Land-use category</t>
  </si>
  <si>
    <r>
      <t>Subdivision</t>
    </r>
    <r>
      <rPr>
        <b/>
        <vertAlign val="superscript"/>
        <sz val="9"/>
        <rFont val="Times New Roman"/>
        <family val="1"/>
      </rPr>
      <t>(1)</t>
    </r>
  </si>
  <si>
    <r>
      <t>Total area</t>
    </r>
    <r>
      <rPr>
        <b/>
        <vertAlign val="superscript"/>
        <sz val="9"/>
        <rFont val="Times New Roman"/>
        <family val="1"/>
      </rPr>
      <t>(2)</t>
    </r>
    <r>
      <rPr>
        <b/>
        <sz val="9"/>
        <rFont val="Times New Roman"/>
        <family val="1"/>
      </rPr>
      <t xml:space="preserve">
(kha)</t>
    </r>
  </si>
  <si>
    <r>
      <t>Area of mineral soil</t>
    </r>
    <r>
      <rPr>
        <b/>
        <vertAlign val="superscript"/>
        <sz val="9"/>
        <rFont val="Times New Roman"/>
        <family val="1"/>
      </rPr>
      <t xml:space="preserve">
</t>
    </r>
    <r>
      <rPr>
        <b/>
        <sz val="9"/>
        <rFont val="Times New Roman"/>
        <family val="1"/>
      </rPr>
      <t>(kha)</t>
    </r>
  </si>
  <si>
    <r>
      <t>Area of organic soil</t>
    </r>
    <r>
      <rPr>
        <b/>
        <vertAlign val="superscript"/>
        <sz val="9"/>
        <rFont val="Times New Roman"/>
        <family val="1"/>
      </rPr>
      <t xml:space="preserve">
</t>
    </r>
    <r>
      <rPr>
        <b/>
        <sz val="9"/>
        <rFont val="Times New Roman"/>
        <family val="1"/>
      </rPr>
      <t>(kha)</t>
    </r>
  </si>
  <si>
    <r>
      <t>Carbon stock change in living biomass per area</t>
    </r>
    <r>
      <rPr>
        <b/>
        <vertAlign val="superscript"/>
        <sz val="9"/>
        <rFont val="Times New Roman"/>
        <family val="1"/>
      </rPr>
      <t>(3) (4)</t>
    </r>
  </si>
  <si>
    <r>
      <t>Net carbon stock change in dead organic matter per area</t>
    </r>
    <r>
      <rPr>
        <b/>
        <vertAlign val="superscript"/>
        <sz val="9"/>
        <rFont val="Times New Roman"/>
        <family val="1"/>
      </rPr>
      <t>(4)</t>
    </r>
  </si>
  <si>
    <r>
      <t>Net carbon stock change in soils per area</t>
    </r>
    <r>
      <rPr>
        <b/>
        <vertAlign val="superscript"/>
        <sz val="9"/>
        <rFont val="Times New Roman"/>
        <family val="1"/>
      </rPr>
      <t>(4)</t>
    </r>
  </si>
  <si>
    <r>
      <t>Carbon stock change in living biomass</t>
    </r>
    <r>
      <rPr>
        <b/>
        <vertAlign val="superscript"/>
        <sz val="9"/>
        <rFont val="Times New Roman"/>
        <family val="1"/>
      </rPr>
      <t>(3), (4), (6)</t>
    </r>
  </si>
  <si>
    <r>
      <t>Net carbon stock change in dead organic matter</t>
    </r>
    <r>
      <rPr>
        <b/>
        <vertAlign val="superscript"/>
        <sz val="9"/>
        <rFont val="Times New Roman"/>
        <family val="1"/>
      </rPr>
      <t>(4) (7)</t>
    </r>
  </si>
  <si>
    <r>
      <t>Net carbon stock change in soils</t>
    </r>
    <r>
      <rPr>
        <b/>
        <vertAlign val="superscript"/>
        <sz val="9"/>
        <rFont val="Times New Roman"/>
        <family val="1"/>
      </rPr>
      <t xml:space="preserve">(4) (5) (8) </t>
    </r>
  </si>
  <si>
    <t>Gains</t>
  </si>
  <si>
    <t>Losses</t>
  </si>
  <si>
    <t>Net change</t>
  </si>
  <si>
    <t>Mineral soils</t>
  </si>
  <si>
    <t>Organic soils</t>
  </si>
  <si>
    <t>(t C/ha)</t>
  </si>
  <si>
    <t>(kt C)</t>
  </si>
  <si>
    <t>(kt)</t>
  </si>
  <si>
    <t>B. Total Cropland</t>
  </si>
  <si>
    <t/>
  </si>
  <si>
    <t>1. Cropland remaining cropland</t>
  </si>
  <si>
    <t>NA</t>
  </si>
  <si>
    <t>IE</t>
  </si>
  <si>
    <t>Carbon_Stock_Change</t>
  </si>
  <si>
    <r>
      <t>2. Land converted to cropland</t>
    </r>
    <r>
      <rPr>
        <vertAlign val="superscript"/>
        <sz val="9"/>
        <rFont val="Times New Roman"/>
        <family val="1"/>
      </rPr>
      <t>(10)</t>
    </r>
  </si>
  <si>
    <t xml:space="preserve">2.1 Forest land converted to cropland . </t>
  </si>
  <si>
    <t>FL_to_CL</t>
  </si>
  <si>
    <t xml:space="preserve">2.2 Grassland converted to cropland </t>
  </si>
  <si>
    <t>NE</t>
  </si>
  <si>
    <t>GL_to_CL</t>
  </si>
  <si>
    <t>2.3 Wetlands converted to cropland</t>
  </si>
  <si>
    <t>WL_to_CL</t>
  </si>
  <si>
    <t>2.4 Settlements converted to cropland</t>
  </si>
  <si>
    <t>SL_to_CL</t>
  </si>
  <si>
    <t>2.5 Other land converted to cropland</t>
  </si>
  <si>
    <t>NO,NA</t>
  </si>
  <si>
    <t>NO</t>
  </si>
  <si>
    <t>OL_to_CL</t>
  </si>
  <si>
    <t>.</t>
  </si>
  <si>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</si>
  <si>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cropland report the cumulative area remaining in the category in the reporting year. The total area should equal the area of mineral soil plus the area of organic soil by subcategory. </t>
    </r>
  </si>
  <si>
    <r>
      <t xml:space="preserve">(3)  </t>
    </r>
    <r>
      <rPr>
        <sz val="9"/>
        <rFont val="Times New Roman"/>
        <family val="1"/>
      </rPr>
      <t xml:space="preserve">Carbon stock gains and losses should be listed separately except in cases where, due to the methods used, it is technically impossible to separate information on gains and losses.  </t>
    </r>
  </si>
  <si>
    <r>
      <t xml:space="preserve">(4) </t>
    </r>
    <r>
      <rPr>
        <sz val="9"/>
        <rFont val="Times New Roman"/>
        <family val="1"/>
      </rPr>
      <t xml:space="preserve">The signs for estimates of gains in carbon stocks are positive (+) and for losses in carbon stocks are negative (–).  </t>
    </r>
  </si>
  <si>
    <r>
      <t xml:space="preserve">(5) </t>
    </r>
    <r>
      <rPr>
        <sz val="9"/>
        <rFont val="Times New Roman"/>
        <family val="1"/>
      </rPr>
      <t xml:space="preserve"> Parties who wish to do so may report annual on-site CO2-C emissions/removals and off-site CO2-C emissions from drained and rewetted organic soils here.</t>
    </r>
  </si>
  <si>
    <r>
      <t xml:space="preserve">(6)  </t>
    </r>
    <r>
      <rPr>
        <sz val="9"/>
        <rFont val="Times New Roman"/>
        <family val="1"/>
      </rPr>
      <t>For category 4.B.1 Cropland remaining cropland this column only includes changes in perennial woody biomass.</t>
    </r>
  </si>
  <si>
    <r>
      <t xml:space="preserve">(7)  </t>
    </r>
    <r>
      <rPr>
        <sz val="9"/>
        <rFont val="Times New Roman"/>
        <family val="1"/>
      </rPr>
      <t xml:space="preserve">No reporting on dead organic matter pools is required  for category 4.B.1. Cropland remaining cropland. </t>
    </r>
  </si>
  <si>
    <r>
      <t>(8)</t>
    </r>
    <r>
      <rPr>
        <sz val="9"/>
        <rFont val="Times New Roman"/>
        <family val="1"/>
      </rPr>
      <t xml:space="preserve"> When Parties cannot estimate carbon stock changes for organic and mineral soil separately, these should be reported under mineral soils.</t>
    </r>
  </si>
  <si>
    <r>
      <t>(9)</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</si>
  <si>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(10)</t>
    </r>
    <r>
      <rPr>
        <sz val="9"/>
        <rFont val="Times New Roman"/>
        <family val="1"/>
      </rPr>
      <t xml:space="preserve"> A Party may report aggregated estimates for all land conversions to cropland, when data are not available to report them separately. A Party should specify in the documentation box which types of land conversion are included.</t>
    </r>
  </si>
  <si>
    <t>Documentation box:</t>
  </si>
  <si>
    <t>Parties should provide detailed explanations on the land use, land-use change and forestry sector in Chapter 6: Land Use, Land-Use Change and Forestry (CRF sector 4) of the national inventory report (NIR). Use this documentation box to provide references to relevant sections of the NIR if any additional information and/or further details are needed to understand the content of this table.</t>
  </si>
  <si>
    <t>Documentation box</t>
  </si>
  <si>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</si>
  <si>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</si>
  <si>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t>ACTIVITY  DATA   AND  OTHER  RELATED  INFORMATION</t>
  </si>
  <si>
    <t>IMPLIED EMISSION FACTORS</t>
  </si>
  <si>
    <t>EMISSIONS</t>
  </si>
  <si>
    <t>Description</t>
  </si>
  <si>
    <t>Value</t>
  </si>
  <si>
    <r>
      <t>N</t>
    </r>
    <r>
      <rPr>
        <b/>
        <vertAlign val="subscript"/>
        <sz val="9"/>
        <rFont val="Times New Roman"/>
        <family val="1"/>
      </rPr>
      <t>2</t>
    </r>
    <r>
      <rPr>
        <b/>
        <sz val="9"/>
        <rFont val="Times New Roman"/>
        <family val="1"/>
      </rPr>
      <t>O</t>
    </r>
  </si>
  <si>
    <t>kg N/yr</t>
  </si>
  <si>
    <r>
      <t>kg N</t>
    </r>
    <r>
      <rPr>
        <b/>
        <vertAlign val="subscript"/>
        <sz val="9"/>
        <rFont val="Times New Roman"/>
        <family val="1"/>
      </rPr>
      <t>2</t>
    </r>
    <r>
      <rPr>
        <b/>
        <sz val="9"/>
        <rFont val="Times New Roman"/>
        <family val="1"/>
      </rPr>
      <t>O-N/kg N</t>
    </r>
    <r>
      <rPr>
        <b/>
        <vertAlign val="superscript"/>
        <sz val="9"/>
        <rFont val="Times New Roman"/>
        <family val="1"/>
      </rPr>
      <t>(1)(2)</t>
    </r>
  </si>
  <si>
    <r>
      <t>a. Direct N</t>
    </r>
    <r>
      <rPr>
        <b/>
        <vertAlign val="subscript"/>
        <sz val="9"/>
        <rFont val="Times New Roman"/>
        <family val="1"/>
      </rPr>
      <t>2</t>
    </r>
    <r>
      <rPr>
        <b/>
        <sz val="9"/>
        <rFont val="Times New Roman"/>
        <family val="1"/>
      </rPr>
      <t xml:space="preserve">O emissions from managed soils </t>
    </r>
  </si>
  <si>
    <r>
      <t>1.   Inorganic N fertilizers</t>
    </r>
    <r>
      <rPr>
        <vertAlign val="superscript"/>
        <sz val="9"/>
        <rFont val="Times New Roman"/>
        <family val="1"/>
      </rPr>
      <t>(3)</t>
    </r>
  </si>
  <si>
    <t>N input from application of inorganic fertilizers to cropland and grassland</t>
  </si>
  <si>
    <r>
      <t>2.   Organic N fertilizers</t>
    </r>
    <r>
      <rPr>
        <vertAlign val="superscript"/>
        <sz val="9"/>
        <rFont val="Times New Roman"/>
        <family val="1"/>
      </rPr>
      <t>(3)</t>
    </r>
  </si>
  <si>
    <t>N input from organic N fertilizers to cropland and grassland</t>
  </si>
  <si>
    <t xml:space="preserve">      a. Animal manure applied to soils</t>
  </si>
  <si>
    <t>N input from manure applied to soils</t>
  </si>
  <si>
    <t xml:space="preserve">      b. Sewage sludge applied to soils</t>
  </si>
  <si>
    <t>N input from sewage sludge applied to soils</t>
  </si>
  <si>
    <t xml:space="preserve">      c. Other organic fertilizers applied to soils</t>
  </si>
  <si>
    <t>N input from application of other organic fertilizers</t>
  </si>
  <si>
    <t>3.   Urine and dung deposited by grazing animals</t>
  </si>
  <si>
    <t>N excretion on pasture, range and paddock</t>
  </si>
  <si>
    <t>4.   Crop residues</t>
  </si>
  <si>
    <t>N in crop residues returned to soils</t>
  </si>
  <si>
    <r>
      <t xml:space="preserve">5.  Mineralization/immobilization associated with loss/gain of soil organic matter </t>
    </r>
    <r>
      <rPr>
        <vertAlign val="superscript"/>
        <sz val="9"/>
        <rFont val="Times New Roman"/>
        <family val="1"/>
      </rPr>
      <t>(4)(5)</t>
    </r>
  </si>
  <si>
    <t>N in mineral soils that is mineralized in association with loss of soil C</t>
  </si>
  <si>
    <r>
      <t>6.   Cultivation of organic soils (i.e. histosols)</t>
    </r>
    <r>
      <rPr>
        <vertAlign val="superscript"/>
        <sz val="9"/>
        <rFont val="Times New Roman"/>
        <family val="1"/>
      </rPr>
      <t>(2)</t>
    </r>
  </si>
  <si>
    <t>Area of cultivated organic soils</t>
  </si>
  <si>
    <t>7.   Other</t>
  </si>
  <si>
    <r>
      <t>b. Indirect N</t>
    </r>
    <r>
      <rPr>
        <b/>
        <vertAlign val="subscript"/>
        <sz val="9"/>
        <rFont val="Times New Roman"/>
        <family val="1"/>
      </rPr>
      <t>2</t>
    </r>
    <r>
      <rPr>
        <b/>
        <sz val="9"/>
        <rFont val="Times New Roman"/>
        <family val="1"/>
      </rPr>
      <t xml:space="preserve">O Emissions from managed soils </t>
    </r>
  </si>
  <si>
    <r>
      <t>1.   Atmospheric deposition</t>
    </r>
    <r>
      <rPr>
        <vertAlign val="superscript"/>
        <sz val="9"/>
        <rFont val="Times New Roman"/>
        <family val="1"/>
      </rPr>
      <t>(6)</t>
    </r>
  </si>
  <si>
    <t>Volatilized N from agricultural inputs of N</t>
  </si>
  <si>
    <t>2.   Nitrogen leaching and run-off</t>
  </si>
  <si>
    <t>N from fertilizers and other agricultural inputs that is lost through leaching and run-off</t>
  </si>
  <si>
    <r>
      <t xml:space="preserve">(1)   </t>
    </r>
    <r>
      <rPr>
        <sz val="9"/>
        <rFont val="Times New Roman"/>
        <family val="1"/>
      </rPr>
      <t>To convert from N</t>
    </r>
    <r>
      <rPr>
        <vertAlign val="subscript"/>
        <sz val="9"/>
        <rFont val="Times New Roman"/>
        <family val="1"/>
      </rPr>
      <t>2</t>
    </r>
    <r>
      <rPr>
        <sz val="9"/>
        <rFont val="Times New Roman"/>
        <family val="1"/>
      </rPr>
      <t>O-N to N</t>
    </r>
    <r>
      <rPr>
        <vertAlign val="subscript"/>
        <sz val="9"/>
        <rFont val="Times New Roman"/>
        <family val="1"/>
      </rPr>
      <t>2</t>
    </r>
    <r>
      <rPr>
        <sz val="9"/>
        <rFont val="Times New Roman"/>
        <family val="1"/>
      </rPr>
      <t xml:space="preserve">O emissions, multiply by 44/28. </t>
    </r>
  </si>
  <si>
    <r>
      <t>(2)</t>
    </r>
    <r>
      <rPr>
        <sz val="9"/>
        <rFont val="Times New Roman"/>
        <family val="1"/>
      </rPr>
      <t xml:space="preserve">   For cultivation of histosols the unit of the IEF is kg N</t>
    </r>
    <r>
      <rPr>
        <vertAlign val="subscript"/>
        <sz val="9"/>
        <rFont val="Times New Roman"/>
        <family val="1"/>
      </rPr>
      <t>2</t>
    </r>
    <r>
      <rPr>
        <sz val="9"/>
        <rFont val="Times New Roman"/>
        <family val="1"/>
      </rPr>
      <t>O–N/ha. The emissions from cultivation/management of croplands and grasslands are to be included. For a definition of organic soils, see footnote 4, page 11.6 of chapter 11 of volume 4 of the 2006 IPCC Guidelines.</t>
    </r>
  </si>
  <si>
    <r>
      <t>(3)</t>
    </r>
    <r>
      <rPr>
        <sz val="9"/>
        <rFont val="Times New Roman"/>
        <family val="1"/>
      </rPr>
      <t xml:space="preserve">    Include the application of fertilizers on cropland and grassland. If the application of fertilizers to other land categories cannot be separately identified, this application should be included here.</t>
    </r>
  </si>
  <si>
    <r>
      <t>(4)</t>
    </r>
    <r>
      <rPr>
        <sz val="9"/>
        <rFont val="Times New Roman"/>
        <family val="1"/>
      </rPr>
      <t xml:space="preserve">   Emissions from management changes in cropland remaining cropland would be reported in this table. </t>
    </r>
  </si>
  <si>
    <r>
      <t xml:space="preserve">(5)  </t>
    </r>
    <r>
      <rPr>
        <sz val="9"/>
        <rFont val="Times New Roman"/>
        <family val="1"/>
      </rPr>
      <t>Methodologies for N</t>
    </r>
    <r>
      <rPr>
        <vertAlign val="subscript"/>
        <sz val="9"/>
        <rFont val="Times New Roman"/>
        <family val="1"/>
      </rPr>
      <t>2</t>
    </r>
    <r>
      <rPr>
        <sz val="9"/>
        <rFont val="Times New Roman"/>
        <family val="1"/>
      </rPr>
      <t>O emissions from N mineralization/immobilization associated with loss/gain of soil organic matter resulting management of mineral soils are based on equations 11.1, 11.2 and 11.8 of the 2006 IPCC Guidelines. N</t>
    </r>
    <r>
      <rPr>
        <vertAlign val="subscript"/>
        <sz val="9"/>
        <rFont val="Times New Roman"/>
        <family val="1"/>
      </rPr>
      <t>2</t>
    </r>
    <r>
      <rPr>
        <sz val="9"/>
        <rFont val="Times New Roman"/>
        <family val="1"/>
      </rPr>
      <t>O immobilization associated with gain of organic matter resulting from management of mineral soils can be reported only when a Party applies a tier 3 approach in the relevant calculation.</t>
    </r>
  </si>
  <si>
    <r>
      <t>(6)</t>
    </r>
    <r>
      <rPr>
        <sz val="9"/>
        <rFont val="Times New Roman"/>
        <family val="1"/>
      </rPr>
      <t xml:space="preserve">   Only atmospheric deposition of nitrogen (N) volatilised from agricultural inputs of N are to be reported here, not including NOx associated with the burning of savannahs and crop residues.</t>
    </r>
  </si>
  <si>
    <t>Additional information</t>
  </si>
  <si>
    <r>
      <t xml:space="preserve">Fraction </t>
    </r>
    <r>
      <rPr>
        <b/>
        <vertAlign val="superscript"/>
        <sz val="9"/>
        <rFont val="Times New Roman"/>
        <family val="1"/>
      </rPr>
      <t>(a)</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</si>
  <si>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</si>
  <si>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</si>
  <si>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GASM</t>
    </r>
  </si>
  <si>
    <r>
      <t>Fraction of livestock N excretion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</si>
  <si>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Frac</t>
    </r>
    <r>
      <rPr>
        <vertAlign val="subscript"/>
        <sz val="9"/>
        <rFont val="Times New Roman"/>
        <family val="1"/>
      </rPr>
      <t>LEACH-(H)</t>
    </r>
  </si>
  <si>
    <t>Fraction of N input to managed soils that is lost through leaching and run-off</t>
  </si>
  <si>
    <r>
      <t xml:space="preserve">Other fractions </t>
    </r>
    <r>
      <rPr>
        <i/>
        <sz val="9"/>
        <rFont val="Times New Roman"/>
        <family val="1"/>
      </rPr>
      <t>(please specify)</t>
    </r>
  </si>
  <si>
    <r>
      <t>(a)</t>
    </r>
    <r>
      <rPr>
        <sz val="9"/>
        <rFont val="Times New Roman"/>
        <family val="1"/>
      </rPr>
      <t xml:space="preserve"> Use the definitions for fractions as specified in the 2006 IPCC Guidelines (pp. 11.13-11.22 of chapter 11 of volume 4) </t>
    </r>
  </si>
  <si>
    <t>• Parties should provide detailed explanations on the agriculture sector in chapter 5: Agriculture (CRF sector 3) of the NIR. Use this documentation box to provide references to relevant sections of the NIR if any additional information and/or further details are needed to understand the content of this table.</t>
  </si>
  <si>
    <t xml:space="preserve">• Provide a reference to the relevant section in the NIR, in particular with regard to: </t>
  </si>
  <si>
    <r>
      <t xml:space="preserve">    (a) Background information on methane (CH</t>
    </r>
    <r>
      <rPr>
        <vertAlign val="subscript"/>
        <sz val="9"/>
        <rFont val="Times New Roman"/>
        <family val="1"/>
      </rPr>
      <t>4</t>
    </r>
    <r>
      <rPr>
        <sz val="9"/>
        <rFont val="Times New Roman"/>
        <family val="1"/>
      </rPr>
      <t>) emissions from agricultural soils, if accounted for under the agriculture sector;</t>
    </r>
  </si>
  <si>
    <t xml:space="preserve">    (b) Full list of assumptions and fractions used.</t>
  </si>
  <si>
    <t>3.D/2019: manure includes bedding _x000D_
3.D.1.2.c: N input from potato cell sap and meat and bone meal on agricultural lands</t>
  </si>
  <si>
    <t>CO2-päästö viljelysmaana, t</t>
  </si>
  <si>
    <t xml:space="preserve">N2O-päästö viljelysmaana, t </t>
  </si>
  <si>
    <t>N2O-päästö viljelysmaana, t CO2-ekv</t>
  </si>
  <si>
    <t>AR5</t>
  </si>
  <si>
    <t>CO2</t>
  </si>
  <si>
    <t>CH4</t>
  </si>
  <si>
    <t>N2O</t>
  </si>
  <si>
    <t>AR4</t>
  </si>
  <si>
    <t>CO2-päästö viljelysmaana, t/ha</t>
  </si>
  <si>
    <t>N2O-päästö viljelysmaana, t/ha</t>
  </si>
  <si>
    <t>N2O-päästö viljelysmaana, t CO2-ekv/ha</t>
  </si>
  <si>
    <t>t/ha</t>
  </si>
  <si>
    <t>vuosi</t>
  </si>
  <si>
    <t>Määrä  / ala</t>
  </si>
  <si>
    <t>Sarakeotsikot</t>
  </si>
  <si>
    <t>Riviotsikot</t>
  </si>
  <si>
    <t>Herne</t>
  </si>
  <si>
    <t>Kaura</t>
  </si>
  <si>
    <t>Keraajakasvi</t>
  </si>
  <si>
    <t>Kesannot</t>
  </si>
  <si>
    <t>Kevatvehna</t>
  </si>
  <si>
    <t>Ohra</t>
  </si>
  <si>
    <t>Peruna</t>
  </si>
  <si>
    <t>Rapsi</t>
  </si>
  <si>
    <t>Ruis</t>
  </si>
  <si>
    <t>Rypsi</t>
  </si>
  <si>
    <t>Sailorehu</t>
  </si>
  <si>
    <t>Seosvilja</t>
  </si>
  <si>
    <t>Sokerijuurikas</t>
  </si>
  <si>
    <t>Syysvehna</t>
  </si>
  <si>
    <t>Kaikki yhteensä</t>
  </si>
  <si>
    <t>M</t>
  </si>
  <si>
    <t>O</t>
  </si>
  <si>
    <t>AreasCrop-tiedosto</t>
  </si>
  <si>
    <t>org CO2-päästöt</t>
  </si>
  <si>
    <t>org N2O-päästöt, maataloussektori</t>
  </si>
  <si>
    <t>päästö</t>
  </si>
  <si>
    <t>land type  (organic soil)</t>
  </si>
  <si>
    <t>viljelykäyttö</t>
  </si>
  <si>
    <t xml:space="preserve">käytössä Suomen KHK-inventaariossa? </t>
  </si>
  <si>
    <t>sektori</t>
  </si>
  <si>
    <t>EF</t>
  </si>
  <si>
    <t>95% confidence interval min</t>
  </si>
  <si>
    <t>95% confidence interval max</t>
  </si>
  <si>
    <t>EF yksikkö</t>
  </si>
  <si>
    <t>GWP</t>
  </si>
  <si>
    <t>EF CO2-ekv. yksikkö</t>
  </si>
  <si>
    <t>EF lähde</t>
  </si>
  <si>
    <t>EF lähde tarkemmin</t>
  </si>
  <si>
    <t>cropland drained, annual</t>
  </si>
  <si>
    <t>viljelysmaa, viljakasvit ja muut yksivuotiset</t>
  </si>
  <si>
    <t>kyllä</t>
  </si>
  <si>
    <t>LULUCF</t>
  </si>
  <si>
    <t>t CO2-C/ha/yr</t>
  </si>
  <si>
    <t>t CO2-ekv./ha/yr</t>
  </si>
  <si>
    <t>IPCC Wetlands Supplement 2013</t>
  </si>
  <si>
    <t xml:space="preserve">Table 2.1. Cropland, drained. Boreal and Temperate. No of sites: 39. Drösler et al., 2013; Elsgaard et al., 2012; Grønlund et al., 2008; Kasimir-Klemedtsson et al., 1997; Leifeld et al., 2011; Maljanen et al., 2001a, 2003a, 2004, 2007; Morrison et al., 2013; Petersen et al., 2012. </t>
  </si>
  <si>
    <t>cropland drained, grass</t>
  </si>
  <si>
    <t>viljelysmaa, nurmi</t>
  </si>
  <si>
    <t>Table 2.1. Grassland, drained. No of sites: 8. Grønlund et al., 2006; Kreshtapova &amp; Maslov, 2004; Lohila et al., 2004; Maljanen et al., 2001a, 2004; Nykänen et al., 1995; Shurpali et al., 2009</t>
  </si>
  <si>
    <t>wet cropland, grass</t>
  </si>
  <si>
    <t>märkä nurmi</t>
  </si>
  <si>
    <t>ei</t>
  </si>
  <si>
    <t xml:space="preserve">Table 2.1. Grassland, shallow-drained (less than approximately 30 cm below the surface), nutrient-rich. Temperate zone. No of sites: 13. Drösler et al., 2013; Jacobs et al., 2003; Lloyd, 2006. </t>
  </si>
  <si>
    <t>grassland (mainly abandoned fields)</t>
  </si>
  <si>
    <t>ruohikkoalueet (enimmäkseen hylättyjä peltoja)</t>
  </si>
  <si>
    <t>Maljanen et al. 2010</t>
  </si>
  <si>
    <t>s. 2721 The mean annual emissions (±standard deviation) from abandoned sites were 0.89±0.70 g m−2 (n = 6) for N2O and 1300±1100 g m−2(n = 5) for CO2.</t>
  </si>
  <si>
    <t>maatalous</t>
  </si>
  <si>
    <t>kg N2O-N/ha/yr</t>
  </si>
  <si>
    <t>Table 2.5. Cropland, drained. Boreal and Temperate. No of sites: 36. Augustin et al., 1998; Drösler et al., 2013; Elsgaard et al., 2012; Flessa et al., 1998; Kasimir-Klemedtsson et al., 2009; Maljanen et al., 2003a, b, 2004, 2007; Petersen et al., 2012; Regina et al., 2004; Taft et al., 2013.</t>
  </si>
  <si>
    <t>Table 2.5. Grassland, drained. Boreal. No of sites: 16. Grønlund et al., 2006; Hyvönen et al., 2009; Jaakkola, 1985; Maljanen et al., 2001b, 2003a, 2004, 2009, 2010b; Nykänen et al., 1995; Regina et al., 1996, 2004.</t>
  </si>
  <si>
    <t>Table 2.5. Grassland, shallow-drained (less than approximately 30 cm below the surface), nutrient-rich. Temperate zone. No of sites: 13. Drösler et al., 2013; Jacobs et al., 2003.</t>
  </si>
  <si>
    <t>kg CH4/ha/yr</t>
  </si>
  <si>
    <t>Table 2.3. Grassland, shallow-drained, nutrient-rich. Temperate zone. No of sites: 16. Augustin, 2003; Drösler et al., 2013; Jacobs et al., 2003; van den Pol-van Dasselaar et al., 1997.</t>
  </si>
  <si>
    <t>drainage ditches of deep-drained cropland</t>
  </si>
  <si>
    <t>viljelysmaan ja nurmen ojat</t>
  </si>
  <si>
    <t>Table 2.4. Boreal/Temperate Deep-drained Grassland Cropland. Best &amp; Jacobs, 1997; Chistotin et al., 2006; Schrier-Uijl et al., 2010b, 2011; Sirin et al., 2012; Teh et al., 2011; Vermaat et al., 2011.</t>
  </si>
  <si>
    <t>drainage ditches of wet cropland, grass</t>
  </si>
  <si>
    <t>märkä nurmi, ojat</t>
  </si>
  <si>
    <t>Table 2.4. Boreal/Temperate Shallow-drained Grassland. Best &amp; Jacobs, 1997; Hendriks et al., 2007, 2010; McNamara, 2013; van den Pol-van Dasselaar et al., 1999a; Vermaat et al., 2011.</t>
  </si>
  <si>
    <t>KIV MAA märkä kosteikko</t>
  </si>
  <si>
    <t>rewetted organic soils, nutrient status: rich</t>
  </si>
  <si>
    <t>ei enää viljelykäytössä</t>
  </si>
  <si>
    <t xml:space="preserve">Table 3.1. Boreal, nutrient-rich. Number of sites: 39. </t>
  </si>
  <si>
    <t>rewetted organic soils, CO2 from DOC</t>
  </si>
  <si>
    <t>Eq. 3.6, Table 3.2. Boreal. DOC flux 0.08 * Frac_DOC-CO2 0.9</t>
  </si>
  <si>
    <t>kg CH4-C/ha/yr</t>
  </si>
  <si>
    <t xml:space="preserve">Table 3.3. Boreal, nutrient-rich. Number of sites: 35. </t>
  </si>
  <si>
    <t>Under Tier 1, emissions of nitrous oxides from rewetted soils are assumed to be negligible (Hendriks et al., 2007; Wilson et al., 2013).</t>
  </si>
  <si>
    <t>t CO2-ekv/ha (AR4)</t>
  </si>
  <si>
    <t>luonnonhoitopeltonurmet</t>
  </si>
  <si>
    <t>kiv. yksivuotiset</t>
  </si>
  <si>
    <t>org. yksivuotiset</t>
  </si>
  <si>
    <t>org. maata</t>
  </si>
  <si>
    <t>päästöt</t>
  </si>
  <si>
    <t>kiv_N2O, t CO2 ekv AR4</t>
  </si>
  <si>
    <t>yht_LULUCF, t</t>
  </si>
  <si>
    <t>yht_maataloussektori, t CO2-ekv AR4</t>
  </si>
  <si>
    <t>org_N2O, t CO2 ekv AR4</t>
  </si>
  <si>
    <t>yht LULUCF, t/ha</t>
  </si>
  <si>
    <t>yht maataloussektori, t/ha</t>
  </si>
  <si>
    <t>viherlannoitusnurmet</t>
  </si>
  <si>
    <t>monimuotoisuuskasvit</t>
  </si>
  <si>
    <t>ympäristökorvauksen ala/maatalousmaan ala</t>
  </si>
  <si>
    <t>Suojavyöhykkeet turvepeltojen nurmet</t>
  </si>
  <si>
    <t>Suojavyöhykkeet vesistöjen varrella</t>
  </si>
  <si>
    <t>Monivuotinen ympäristönurmi</t>
  </si>
  <si>
    <t>monivuotiset ympäristönurmet</t>
  </si>
  <si>
    <t>turvemaan pysyvä nurmi yksivuotisen tilalle</t>
  </si>
  <si>
    <t>Muutos aikaisempaan</t>
  </si>
  <si>
    <t>Mineral soils, emission, t CO2/ha</t>
  </si>
  <si>
    <t>Organic soils, emission, t CO2/ha</t>
  </si>
  <si>
    <t>Viljelysmaa</t>
  </si>
  <si>
    <t>Kesannon hiilensidonta(Jaakko Heikkinen 14.6.2021)</t>
  </si>
  <si>
    <t>t C ha /vuosi</t>
  </si>
  <si>
    <t>t CO2/ha/vuosi</t>
  </si>
  <si>
    <t xml:space="preserve">kiv_CO2, t/vuosi </t>
  </si>
  <si>
    <t>org_CO2, t/vuosi</t>
  </si>
  <si>
    <t>kiv CO2 t/ha/vuosi</t>
  </si>
  <si>
    <t>yht_LULUCF, kt</t>
  </si>
  <si>
    <t>kerääjäkasvit</t>
  </si>
  <si>
    <r>
      <t xml:space="preserve">Emission factor (EF), </t>
    </r>
    <r>
      <rPr>
        <sz val="9"/>
        <color indexed="10"/>
        <rFont val="Arial"/>
        <family val="2"/>
      </rPr>
      <t>kg N</t>
    </r>
    <r>
      <rPr>
        <vertAlign val="subscript"/>
        <sz val="9"/>
        <color indexed="10"/>
        <rFont val="Arial"/>
        <family val="2"/>
      </rPr>
      <t>2</t>
    </r>
    <r>
      <rPr>
        <sz val="9"/>
        <color indexed="10"/>
        <rFont val="Arial"/>
        <family val="2"/>
      </rPr>
      <t>O-N / kg N leached</t>
    </r>
  </si>
  <si>
    <t>N-huuhtouma, kg/ha/v</t>
  </si>
  <si>
    <t>Luonnonhoitopeltonurmi</t>
  </si>
  <si>
    <t>Viherlannoitusnurmi</t>
  </si>
  <si>
    <t>Kerääjäkasvi</t>
  </si>
  <si>
    <t>Sitoumus luonnonmukaisesta tuotannosta</t>
  </si>
  <si>
    <t>maanparannus- ja saneerauskasvit</t>
  </si>
  <si>
    <t>N2O-päästö, kg N2O/ha/vuosi</t>
  </si>
  <si>
    <t xml:space="preserve">t CO2_ekv./ha/vuosi </t>
  </si>
  <si>
    <t>huuhtouma N2O, t CO2 ekv AR4</t>
  </si>
  <si>
    <t>t CO2-ekv/vuosi</t>
  </si>
  <si>
    <t>yht maataloussektori, kt</t>
  </si>
  <si>
    <t>ala cap-suunnitelma</t>
  </si>
  <si>
    <t>ala -30 cm</t>
  </si>
  <si>
    <t>märkä nurmi LULUCF, t CO2-ekv/ha</t>
  </si>
  <si>
    <t>märkä nurmi maataloussektori, t CO2-ekv/ha</t>
  </si>
  <si>
    <t>LULUFC grass</t>
  </si>
  <si>
    <t>maataloussektori grass</t>
  </si>
  <si>
    <t>päästövähenemä LULUCF, t CO2/ha</t>
  </si>
  <si>
    <t>päästövähenemä maataloussektori, t CO2-ekv/ha</t>
  </si>
  <si>
    <t>LULUCF-sektori kt CO2-ekv</t>
  </si>
  <si>
    <t>kiv maaperä</t>
  </si>
  <si>
    <t>TABLE 4.A   SECTORAL BACKGROUND DATA FOR LAND USE, LAND-USE CHANGE AND FORESTRY</t>
  </si>
  <si>
    <t>Forest land</t>
  </si>
  <si>
    <r>
      <t>Net CO</t>
    </r>
    <r>
      <rPr>
        <b/>
        <vertAlign val="subscript"/>
        <sz val="9"/>
        <rFont val="Times New Roman"/>
        <family val="1"/>
      </rPr>
      <t>2</t>
    </r>
    <r>
      <rPr>
        <b/>
        <sz val="9"/>
        <rFont val="Times New Roman"/>
        <family val="1"/>
      </rPr>
      <t xml:space="preserve"> emissions/ removals</t>
    </r>
    <r>
      <rPr>
        <b/>
        <vertAlign val="superscript"/>
        <sz val="9"/>
        <rFont val="Times New Roman"/>
        <family val="1"/>
      </rPr>
      <t xml:space="preserve"> (4) (7)</t>
    </r>
  </si>
  <si>
    <r>
      <t>Net carbon stock change in dead wood per area</t>
    </r>
    <r>
      <rPr>
        <b/>
        <vertAlign val="superscript"/>
        <sz val="9"/>
        <rFont val="Times New Roman"/>
        <family val="1"/>
      </rPr>
      <t>(4)</t>
    </r>
  </si>
  <si>
    <r>
      <t>Net carbon stock change in litter per area</t>
    </r>
    <r>
      <rPr>
        <b/>
        <vertAlign val="superscript"/>
        <sz val="9"/>
        <rFont val="Times New Roman"/>
        <family val="1"/>
      </rPr>
      <t>(4)</t>
    </r>
  </si>
  <si>
    <r>
      <t>Carbon stock change in living biomass</t>
    </r>
    <r>
      <rPr>
        <b/>
        <vertAlign val="superscript"/>
        <sz val="9"/>
        <rFont val="Times New Roman"/>
        <family val="1"/>
      </rPr>
      <t>(3) (4)</t>
    </r>
  </si>
  <si>
    <r>
      <t>Net carbon stock change in dead wood</t>
    </r>
    <r>
      <rPr>
        <b/>
        <vertAlign val="superscript"/>
        <sz val="9"/>
        <rFont val="Times New Roman"/>
        <family val="1"/>
      </rPr>
      <t>(4)</t>
    </r>
  </si>
  <si>
    <r>
      <t>Net carbon stock change in litter</t>
    </r>
    <r>
      <rPr>
        <b/>
        <vertAlign val="superscript"/>
        <sz val="9"/>
        <rFont val="Times New Roman"/>
        <family val="1"/>
      </rPr>
      <t>(4)</t>
    </r>
  </si>
  <si>
    <r>
      <t>Net carbon stock change in soils</t>
    </r>
    <r>
      <rPr>
        <b/>
        <vertAlign val="superscript"/>
        <sz val="9"/>
        <rFont val="Times New Roman"/>
        <family val="1"/>
      </rPr>
      <t xml:space="preserve"> (4) (5) (6) </t>
    </r>
  </si>
  <si>
    <r>
      <t>Mineral soils</t>
    </r>
    <r>
      <rPr>
        <b/>
        <vertAlign val="superscript"/>
        <sz val="9"/>
        <rFont val="Times New Roman"/>
        <family val="1"/>
      </rPr>
      <t>(5)</t>
    </r>
  </si>
  <si>
    <t xml:space="preserve">A. Total forest land </t>
  </si>
  <si>
    <t>IE,NA</t>
  </si>
  <si>
    <t>1. Forest land remaining forest land</t>
  </si>
  <si>
    <t>Carbon_stock_change</t>
  </si>
  <si>
    <r>
      <t>2. Land converted to forest land</t>
    </r>
    <r>
      <rPr>
        <vertAlign val="superscript"/>
        <sz val="9"/>
        <rFont val="Times New Roman"/>
        <family val="1"/>
      </rPr>
      <t>(8)</t>
    </r>
  </si>
  <si>
    <t>2.1 Cropland converted to forest land</t>
  </si>
  <si>
    <t>CL-to-FL</t>
  </si>
  <si>
    <t>2.2 Grassland converted to forest land</t>
  </si>
  <si>
    <t>GL-to-FL</t>
  </si>
  <si>
    <t>2.3 Wetlands converted to forest land</t>
  </si>
  <si>
    <t>Peat_Extraction</t>
  </si>
  <si>
    <t>Drained-WL</t>
  </si>
  <si>
    <t>2.4 Settlements converted to forest land</t>
  </si>
  <si>
    <t>SL-to-FL</t>
  </si>
  <si>
    <t>2.5 Other land converted to forest land</t>
  </si>
  <si>
    <t>OL-to-FL</t>
  </si>
  <si>
    <r>
      <t xml:space="preserve">(1) </t>
    </r>
    <r>
      <rPr>
        <sz val="9"/>
        <rFont val="Times New Roman"/>
        <family val="1"/>
      </rPr>
      <t>Land categories may be further divided according to climate zone, management system, soil type, including whether the soil is drained, rewetted or categorized as other, vegetation type, tree species, ecological zone or national land classification.  When Parties estimate emissions and removals or carbon stock change on dry and wet soils separately, they are encouraged to use this column to provide this disaggregation.  When a Party reports emissions and removals from coastal wetlands areas that are not part of the total land area of the country, a Party may use appropriate subcategories for indicating whether the emissions and removals come from areas included or excluded from the total land area of the country.</t>
    </r>
  </si>
  <si>
    <r>
      <t>(2)</t>
    </r>
    <r>
      <rPr>
        <sz val="9"/>
        <rFont val="Times New Roman"/>
        <family val="1"/>
      </rPr>
      <t xml:space="preserve"> The total area of the subcategories, in accordance with the subdivision used, should be entered here. For lands converted to forest land report the cumulative area remaining in the category in the reporting year. The total area should equal the area of mineral soil plus the area of organic soil by subcategory. </t>
    </r>
  </si>
  <si>
    <r>
      <t xml:space="preserve">(4) </t>
    </r>
    <r>
      <rPr>
        <sz val="9"/>
        <rFont val="Times New Roman"/>
        <family val="1"/>
      </rPr>
      <t xml:space="preserve">The signs for estimates of gains in carbon stocks are positive (+) and of losses in carbon stocks are negative (–).  </t>
    </r>
  </si>
  <si>
    <r>
      <t xml:space="preserve">(5) </t>
    </r>
    <r>
      <rPr>
        <sz val="9"/>
        <rFont val="Times New Roman"/>
        <family val="1"/>
      </rPr>
      <t>When Parties cannot estimate carbon stock changes for organic and mineral soil separately, these should be reported under mineral soils.</t>
    </r>
  </si>
  <si>
    <r>
      <t>(6)</t>
    </r>
    <r>
      <rPr>
        <sz val="9"/>
        <rFont val="Times New Roman"/>
        <family val="1"/>
      </rPr>
      <t xml:space="preserve"> Parties who wish to do so may report annual on-site CO2-C emissions/removals and off-site CO2-C emissions from drained and rewetted organic soils here.</t>
    </r>
  </si>
  <si>
    <r>
      <t>(7)</t>
    </r>
    <r>
      <rPr>
        <sz val="9"/>
        <rFont val="Times New Roman"/>
        <family val="1"/>
      </rPr>
      <t xml:space="preserve"> Where Parties directly estimate emissions and removals rather than carbon stock changes, they may report emissions/removals directly in this column and use notation keys in the stock change columns.</t>
    </r>
  </si>
  <si>
    <r>
      <t>(8)</t>
    </r>
    <r>
      <rPr>
        <sz val="9"/>
        <rFont val="Times New Roman"/>
        <family val="1"/>
      </rPr>
      <t xml:space="preserve"> A Party may report aggregated estimates for all conversions of land to forest land when data are not available to report them separately. A Party should specify in the documentation box which types of land conversion are included.</t>
    </r>
  </si>
  <si>
    <t>org cropland drained, annual t CO2/ha</t>
  </si>
  <si>
    <t>org cropland drained, grass t CO2/ha</t>
  </si>
  <si>
    <t>erotus metsä-viljelty</t>
  </si>
  <si>
    <t>org puusto</t>
  </si>
  <si>
    <t>kiv puusto</t>
  </si>
  <si>
    <t>org maaperä yksivuotisilta</t>
  </si>
  <si>
    <t>org maaperä nurmelta</t>
  </si>
  <si>
    <t>Table 4.1  LAND TRANSITION MATRIX</t>
  </si>
  <si>
    <r>
      <t>Areas and changes in areas between the previous and the current inventory year</t>
    </r>
    <r>
      <rPr>
        <b/>
        <vertAlign val="superscript"/>
        <sz val="10"/>
        <rFont val="Times New Roman"/>
        <family val="1"/>
      </rPr>
      <t>(1)</t>
    </r>
  </si>
  <si>
    <t>TO:</t>
  </si>
  <si>
    <t>Forest land (managed)</t>
  </si>
  <si>
    <t>Forest land (unmanaged)</t>
  </si>
  <si>
    <t xml:space="preserve">Cropland </t>
  </si>
  <si>
    <t>Grassland (managed)</t>
  </si>
  <si>
    <t>Grassland (unmanaged)</t>
  </si>
  <si>
    <t>Wetlands (managed)</t>
  </si>
  <si>
    <t>Wetlands (unmanaged)</t>
  </si>
  <si>
    <t>Settlements</t>
  </si>
  <si>
    <t>Other land</t>
  </si>
  <si>
    <t>Total 
unmanaged 
land</t>
  </si>
  <si>
    <t>Initial area</t>
  </si>
  <si>
    <t>FROM:</t>
  </si>
  <si>
    <t>(kha)</t>
  </si>
  <si>
    <r>
      <t>Forest land (managed)</t>
    </r>
    <r>
      <rPr>
        <vertAlign val="superscript"/>
        <sz val="9"/>
        <rFont val="Times New Roman"/>
        <family val="1"/>
      </rPr>
      <t>(2)</t>
    </r>
  </si>
  <si>
    <r>
      <t>Forest land (unmanaged)</t>
    </r>
    <r>
      <rPr>
        <vertAlign val="superscript"/>
        <sz val="9"/>
        <rFont val="Times New Roman"/>
        <family val="1"/>
      </rPr>
      <t>(2)</t>
    </r>
  </si>
  <si>
    <r>
      <t>Cropland</t>
    </r>
    <r>
      <rPr>
        <vertAlign val="superscript"/>
        <sz val="9"/>
        <rFont val="Times New Roman"/>
        <family val="1"/>
      </rPr>
      <t xml:space="preserve">(2) </t>
    </r>
  </si>
  <si>
    <r>
      <t>Grassland (managed)</t>
    </r>
    <r>
      <rPr>
        <vertAlign val="superscript"/>
        <sz val="9"/>
        <rFont val="Times New Roman"/>
        <family val="1"/>
      </rPr>
      <t>(2)</t>
    </r>
  </si>
  <si>
    <r>
      <t>Grassland (unmanaged)</t>
    </r>
    <r>
      <rPr>
        <vertAlign val="superscript"/>
        <sz val="9"/>
        <rFont val="Times New Roman"/>
        <family val="1"/>
      </rPr>
      <t>(2)</t>
    </r>
  </si>
  <si>
    <r>
      <t>Wetlands (managed)</t>
    </r>
    <r>
      <rPr>
        <vertAlign val="superscript"/>
        <sz val="9"/>
        <rFont val="Times New Roman"/>
        <family val="1"/>
      </rPr>
      <t>(2)</t>
    </r>
  </si>
  <si>
    <r>
      <t>Wetlands (unmanaged)</t>
    </r>
    <r>
      <rPr>
        <vertAlign val="superscript"/>
        <sz val="9"/>
        <rFont val="Times New Roman"/>
        <family val="1"/>
      </rPr>
      <t>(2)</t>
    </r>
  </si>
  <si>
    <r>
      <t>Settlements</t>
    </r>
    <r>
      <rPr>
        <vertAlign val="superscript"/>
        <sz val="9"/>
        <rFont val="Times New Roman"/>
        <family val="1"/>
      </rPr>
      <t>(2)</t>
    </r>
  </si>
  <si>
    <r>
      <t>Other land</t>
    </r>
    <r>
      <rPr>
        <vertAlign val="superscript"/>
        <sz val="9"/>
        <rFont val="Times New Roman"/>
        <family val="1"/>
      </rPr>
      <t>(2)</t>
    </r>
  </si>
  <si>
    <r>
      <t xml:space="preserve">Total unmanaged land </t>
    </r>
    <r>
      <rPr>
        <vertAlign val="superscript"/>
        <sz val="9"/>
        <rFont val="Times New Roman"/>
        <family val="1"/>
      </rPr>
      <t>(3)</t>
    </r>
  </si>
  <si>
    <t>Final area</t>
  </si>
  <si>
    <r>
      <t>Net change</t>
    </r>
    <r>
      <rPr>
        <b/>
        <vertAlign val="superscript"/>
        <sz val="9"/>
        <rFont val="Times New Roman"/>
        <family val="1"/>
      </rPr>
      <t>(4)</t>
    </r>
  </si>
  <si>
    <r>
      <t>(1)</t>
    </r>
    <r>
      <rPr>
        <sz val="9"/>
        <rFont val="Times New Roman"/>
        <family val="1"/>
      </rPr>
      <t xml:space="preserve">  For Parties using reporting approach 1 to represent land areas, only data on the initial and final area per land use should be filled in. Notation key "NA"  (not applicable) should be used in such cases for the specific land use transitions, allowing for the formulas in the cells for final and initial areas to be overwritten. Coastal wetlands areas which are not part of total land area should not be included in this land matrix.</t>
    </r>
  </si>
  <si>
    <r>
      <t>(2)</t>
    </r>
    <r>
      <rPr>
        <sz val="9"/>
        <rFont val="Times New Roman"/>
        <family val="1"/>
      </rPr>
      <t xml:space="preserve">  Definitions for the respective land use categories used by the Party should be provided in the NIR, in accordance with the definitions of land use categories in Volume 4, chapter 3, section 3.2 of the 2006 IPCC Guidelines.</t>
    </r>
  </si>
  <si>
    <r>
      <t>(3)</t>
    </r>
    <r>
      <rPr>
        <sz val="9"/>
        <rFont val="Times New Roman"/>
        <family val="1"/>
      </rPr>
      <t xml:space="preserve"> Parties may report only the total area of unmanaged land area and enter the notation key IE under the individual unmanaged land uses categories.</t>
    </r>
  </si>
  <si>
    <r>
      <t>(4)</t>
    </r>
    <r>
      <rPr>
        <sz val="9"/>
        <rFont val="Times New Roman"/>
        <family val="1"/>
      </rPr>
      <t xml:space="preserve"> Net change is the final area minus the initial area for each of the conversion categories shown at the head of the corresponding row. In the final area row the net change equals zero.</t>
    </r>
  </si>
  <si>
    <t>TABLE 4(III)   SECTORAL BACKGROUND DATA FOR LAND USE, LAND-USE CHANGE AND FORESTRY</t>
  </si>
  <si>
    <r>
      <t>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</si>
  <si>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resulting from change of land use or management of mineral soils</t>
    </r>
    <r>
      <rPr>
        <b/>
        <vertAlign val="superscript"/>
        <sz val="12"/>
        <rFont val="Times New Roman"/>
        <family val="1"/>
      </rPr>
      <t>(1)</t>
    </r>
  </si>
  <si>
    <r>
      <t>EMISSIONS</t>
    </r>
    <r>
      <rPr>
        <b/>
        <vertAlign val="superscript"/>
        <sz val="9"/>
        <rFont val="Times New Roman"/>
        <family val="1"/>
      </rPr>
      <t xml:space="preserve"> </t>
    </r>
  </si>
  <si>
    <r>
      <t>Land-use category</t>
    </r>
    <r>
      <rPr>
        <b/>
        <vertAlign val="superscript"/>
        <sz val="9"/>
        <rFont val="Times New Roman"/>
        <family val="1"/>
      </rPr>
      <t>(2)</t>
    </r>
  </si>
  <si>
    <r>
      <t xml:space="preserve">Area </t>
    </r>
    <r>
      <rPr>
        <b/>
        <vertAlign val="superscript"/>
        <sz val="9"/>
        <rFont val="Times New Roman"/>
        <family val="1"/>
      </rPr>
      <t>(3)</t>
    </r>
  </si>
  <si>
    <r>
      <t>N</t>
    </r>
    <r>
      <rPr>
        <b/>
        <vertAlign val="subscript"/>
        <sz val="9"/>
        <rFont val="Times New Roman"/>
        <family val="1"/>
      </rPr>
      <t>2</t>
    </r>
    <r>
      <rPr>
        <b/>
        <sz val="9"/>
        <rFont val="Times New Roman"/>
        <family val="1"/>
      </rPr>
      <t>O–N emissions per area</t>
    </r>
    <r>
      <rPr>
        <b/>
        <vertAlign val="superscript"/>
        <sz val="9"/>
        <rFont val="Times New Roman"/>
        <family val="1"/>
      </rPr>
      <t>(4)</t>
    </r>
    <r>
      <rPr>
        <b/>
        <sz val="9"/>
        <rFont val="Times New Roman"/>
        <family val="1"/>
      </rPr>
      <t xml:space="preserve"> </t>
    </r>
  </si>
  <si>
    <t xml:space="preserve">(kha) </t>
  </si>
  <si>
    <r>
      <t>(kg N</t>
    </r>
    <r>
      <rPr>
        <b/>
        <vertAlign val="subscript"/>
        <sz val="9"/>
        <rFont val="Times New Roman"/>
        <family val="1"/>
      </rPr>
      <t>2</t>
    </r>
    <r>
      <rPr>
        <b/>
        <sz val="9"/>
        <rFont val="Times New Roman"/>
        <family val="1"/>
      </rPr>
      <t>O–N/ha)</t>
    </r>
  </si>
  <si>
    <t xml:space="preserve">Total all land-use categories </t>
  </si>
  <si>
    <t>A. Forest land</t>
  </si>
  <si>
    <r>
      <t>2. Lands converted to forest land</t>
    </r>
    <r>
      <rPr>
        <vertAlign val="superscript"/>
        <sz val="9"/>
        <rFont val="Times New Roman"/>
        <family val="1"/>
      </rPr>
      <t>(5)</t>
    </r>
  </si>
  <si>
    <t>4.A.2.1  Cropland converted to forest land</t>
  </si>
  <si>
    <t>4.A.2.2  Grassland converted to forest land</t>
  </si>
  <si>
    <t>4.A.2.3  Wetlands converted to forest land</t>
  </si>
  <si>
    <t>4.A.2.4  Settlements converted to forest land</t>
  </si>
  <si>
    <t>4.A.2.5  Other land converted to forest land</t>
  </si>
  <si>
    <r>
      <t>B. Cropland</t>
    </r>
    <r>
      <rPr>
        <b/>
        <vertAlign val="superscript"/>
        <sz val="9"/>
        <rFont val="Times New Roman"/>
        <family val="1"/>
      </rPr>
      <t xml:space="preserve">(2) </t>
    </r>
  </si>
  <si>
    <r>
      <t>2. Lands converted to cropland</t>
    </r>
    <r>
      <rPr>
        <vertAlign val="superscript"/>
        <sz val="9"/>
        <rFont val="Times New Roman"/>
        <family val="1"/>
      </rPr>
      <t>(5)</t>
    </r>
  </si>
  <si>
    <t>4.B.2.1  Forest land converted to cropland</t>
  </si>
  <si>
    <t>4.B.2.2  Grassland converted to cropland</t>
  </si>
  <si>
    <t>4.B.2.3  Wetlands converted to cropland</t>
  </si>
  <si>
    <t>4.B.2.4  Settlements converted to cropland</t>
  </si>
  <si>
    <t>C. Grasslands</t>
  </si>
  <si>
    <t>1. Grasslands remaining grasslands</t>
  </si>
  <si>
    <r>
      <t>2. Lands converted to grasslands</t>
    </r>
    <r>
      <rPr>
        <vertAlign val="superscript"/>
        <sz val="9"/>
        <rFont val="Times New Roman"/>
        <family val="1"/>
      </rPr>
      <t>(5)</t>
    </r>
  </si>
  <si>
    <t>4.C.2.1  Forest land converted to grasslands</t>
  </si>
  <si>
    <t>4.C.2.2  Cropland converted to grasslands</t>
  </si>
  <si>
    <t>4.C.2.3  Wetlands converted to grasslands</t>
  </si>
  <si>
    <t>4.C.2.4  Settlements converted to grasslands</t>
  </si>
  <si>
    <t>D. Wetlands</t>
  </si>
  <si>
    <t>1. Wetlands remaining wetlands</t>
  </si>
  <si>
    <r>
      <t>2. Lands converted to wetlands</t>
    </r>
    <r>
      <rPr>
        <vertAlign val="superscript"/>
        <sz val="9"/>
        <rFont val="Times New Roman"/>
        <family val="1"/>
      </rPr>
      <t>(5)</t>
    </r>
  </si>
  <si>
    <r>
      <t>E. Settlements</t>
    </r>
    <r>
      <rPr>
        <i/>
        <sz val="9"/>
        <rFont val="Times New Roman"/>
        <family val="1"/>
      </rPr>
      <t xml:space="preserve"> </t>
    </r>
  </si>
  <si>
    <t>1. Settlements remaining settlements</t>
  </si>
  <si>
    <r>
      <t>2. Lands converted to settlements</t>
    </r>
    <r>
      <rPr>
        <vertAlign val="superscript"/>
        <sz val="9"/>
        <rFont val="Times New Roman"/>
        <family val="1"/>
      </rPr>
      <t>(5)</t>
    </r>
  </si>
  <si>
    <t>4.E.2.1  Forest land converted to settlements</t>
  </si>
  <si>
    <t>F. Other land</t>
  </si>
  <si>
    <r>
      <t xml:space="preserve">  (1)</t>
    </r>
    <r>
      <rPr>
        <sz val="9"/>
        <rFont val="Times New Roman"/>
        <family val="1"/>
      </rPr>
      <t xml:space="preserve"> Methodologies for N2O emissions from N mineralization associated with loss of soil organic matter resulting from change of land use or management of mineral soils are based on equations 11.1, 11.2 and 11.8 of the 2006 IPCC Guidelines. N2O immobilization associated with gain of organic matter resulting from change of land use or management of mineral soils can be reported only when a Party applies a tier 3 approach in the relevant calculation. </t>
    </r>
  </si>
  <si>
    <r>
      <rPr>
        <vertAlign val="superscript"/>
        <sz val="9"/>
        <rFont val="Times New Roman"/>
        <family val="1"/>
      </rPr>
      <t xml:space="preserve">(2) </t>
    </r>
    <r>
      <rPr>
        <sz val="9"/>
        <rFont val="Times New Roman"/>
        <family val="1"/>
      </rPr>
      <t>N</t>
    </r>
    <r>
      <rPr>
        <vertAlign val="subscript"/>
        <sz val="9"/>
        <rFont val="Times New Roman"/>
        <family val="1"/>
      </rPr>
      <t>2</t>
    </r>
    <r>
      <rPr>
        <sz val="9"/>
        <rFont val="Times New Roman"/>
        <family val="1"/>
      </rPr>
      <t xml:space="preserve">O emissions from Cropland remaining cropland are included in the agriculture sector </t>
    </r>
  </si>
  <si>
    <r>
      <t xml:space="preserve"> (3)</t>
    </r>
    <r>
      <rPr>
        <sz val="9"/>
        <rFont val="Times New Roman"/>
        <family val="1"/>
      </rPr>
      <t xml:space="preserve"> 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t>
    </r>
  </si>
  <si>
    <r>
      <t xml:space="preserve">(4)  </t>
    </r>
    <r>
      <rPr>
        <sz val="9"/>
        <rFont val="Times New Roman"/>
        <family val="1"/>
      </rPr>
      <t>In the calculation of the implied emission factor, N2O emissions are converted to N2O–N by multiplying by 28/44.</t>
    </r>
  </si>
  <si>
    <r>
      <t xml:space="preserve">(5) </t>
    </r>
    <r>
      <rPr>
        <sz val="9"/>
        <rFont val="Times New Roman"/>
        <family val="1"/>
      </rPr>
      <t xml:space="preserve"> If data are available, Parties are encouraged to report at the disaggregated level available from the pre-defined drop-down menu. Furthermore, Parties are encouraged to the extent possible to use the pre-defined category definitions rather than to create similar categories. This ensures the highest possible degree of comparability of the reporting. If detailed data are not available, Parties should include all emissions from land conversion here. </t>
    </r>
  </si>
  <si>
    <t>org N2O cropland drained, annual, maataloussektori, t CO2-ekv</t>
  </si>
  <si>
    <t>org N2O cropland drained, grass, maataloussektori, t CO2-ekv</t>
  </si>
  <si>
    <t>t CO2-ekv</t>
  </si>
  <si>
    <t>TABLE 4(II)   SECTORAL BACKGROUND DATA FOR LAND USE, LAND-USE CHANGE AND FORESTRY</t>
  </si>
  <si>
    <t xml:space="preserve">Emissions and removals from drainage and rewetting and other management of organic and mineral soils </t>
  </si>
  <si>
    <r>
      <t>Subdivision</t>
    </r>
    <r>
      <rPr>
        <b/>
        <vertAlign val="superscript"/>
        <sz val="9"/>
        <rFont val="Times New Roman"/>
        <family val="1"/>
      </rPr>
      <t>(2)</t>
    </r>
  </si>
  <si>
    <t xml:space="preserve">IMPLIED EMISSION FACTORS </t>
  </si>
  <si>
    <r>
      <t>Land-use category</t>
    </r>
    <r>
      <rPr>
        <b/>
        <vertAlign val="superscript"/>
        <sz val="9"/>
        <rFont val="Times New Roman"/>
        <family val="1"/>
      </rPr>
      <t>(1)</t>
    </r>
  </si>
  <si>
    <t>Area</t>
  </si>
  <si>
    <r>
      <t>CO</t>
    </r>
    <r>
      <rPr>
        <b/>
        <vertAlign val="subscript"/>
        <sz val="9"/>
        <rFont val="Times New Roman"/>
        <family val="1"/>
      </rPr>
      <t>2</t>
    </r>
    <r>
      <rPr>
        <b/>
        <sz val="9"/>
        <rFont val="Times New Roman"/>
        <family val="1"/>
      </rPr>
      <t xml:space="preserve"> per area </t>
    </r>
  </si>
  <si>
    <r>
      <t>N</t>
    </r>
    <r>
      <rPr>
        <b/>
        <vertAlign val="subscript"/>
        <sz val="9"/>
        <rFont val="Times New Roman"/>
        <family val="1"/>
      </rPr>
      <t>2</t>
    </r>
    <r>
      <rPr>
        <b/>
        <sz val="9"/>
        <rFont val="Times New Roman"/>
        <family val="1"/>
      </rPr>
      <t>O–N per area</t>
    </r>
    <r>
      <rPr>
        <b/>
        <vertAlign val="superscript"/>
        <sz val="9"/>
        <rFont val="Times New Roman"/>
        <family val="1"/>
      </rPr>
      <t>(3)</t>
    </r>
  </si>
  <si>
    <r>
      <t>CH</t>
    </r>
    <r>
      <rPr>
        <b/>
        <vertAlign val="subscript"/>
        <sz val="9"/>
        <rFont val="Times New Roman"/>
        <family val="1"/>
      </rPr>
      <t xml:space="preserve">4 </t>
    </r>
    <r>
      <rPr>
        <b/>
        <sz val="9"/>
        <rFont val="Times New Roman"/>
        <family val="1"/>
      </rPr>
      <t>per</t>
    </r>
    <r>
      <rPr>
        <b/>
        <vertAlign val="subscript"/>
        <sz val="9"/>
        <rFont val="Times New Roman"/>
        <family val="1"/>
      </rPr>
      <t xml:space="preserve"> </t>
    </r>
    <r>
      <rPr>
        <b/>
        <sz val="9"/>
        <rFont val="Times New Roman"/>
        <family val="1"/>
      </rPr>
      <t>area</t>
    </r>
  </si>
  <si>
    <r>
      <t>CO</t>
    </r>
    <r>
      <rPr>
        <b/>
        <vertAlign val="subscript"/>
        <sz val="9"/>
        <rFont val="Times New Roman"/>
        <family val="1"/>
      </rPr>
      <t>2</t>
    </r>
    <r>
      <rPr>
        <b/>
        <vertAlign val="superscript"/>
        <sz val="9"/>
        <rFont val="Times New Roman"/>
        <family val="1"/>
      </rPr>
      <t>(4)</t>
    </r>
  </si>
  <si>
    <r>
      <t>CH</t>
    </r>
    <r>
      <rPr>
        <b/>
        <vertAlign val="subscript"/>
        <sz val="9"/>
        <rFont val="Times New Roman"/>
        <family val="1"/>
      </rPr>
      <t>4</t>
    </r>
  </si>
  <si>
    <r>
      <t>(kg CO</t>
    </r>
    <r>
      <rPr>
        <b/>
        <vertAlign val="subscript"/>
        <sz val="9"/>
        <rFont val="Times New Roman"/>
        <family val="1"/>
      </rPr>
      <t>2</t>
    </r>
    <r>
      <rPr>
        <b/>
        <sz val="9"/>
        <rFont val="Times New Roman"/>
        <family val="1"/>
      </rPr>
      <t>/ha)</t>
    </r>
  </si>
  <si>
    <r>
      <t>(kg CH</t>
    </r>
    <r>
      <rPr>
        <b/>
        <vertAlign val="subscript"/>
        <sz val="9"/>
        <rFont val="Times New Roman"/>
        <family val="1"/>
      </rPr>
      <t>4</t>
    </r>
    <r>
      <rPr>
        <b/>
        <sz val="9"/>
        <rFont val="Times New Roman"/>
        <family val="1"/>
      </rPr>
      <t>/ha)</t>
    </r>
  </si>
  <si>
    <t>Total for all land use categories</t>
  </si>
  <si>
    <t>NO,IE,NA</t>
  </si>
  <si>
    <r>
      <t>A. Forest land</t>
    </r>
    <r>
      <rPr>
        <b/>
        <vertAlign val="superscript"/>
        <sz val="9"/>
        <rFont val="Times New Roman"/>
        <family val="1"/>
      </rPr>
      <t>(5)</t>
    </r>
  </si>
  <si>
    <t>Total organic soils</t>
  </si>
  <si>
    <t>Drained organic soils</t>
  </si>
  <si>
    <t>Rewetted organic soils</t>
  </si>
  <si>
    <r>
      <t xml:space="preserve">Other </t>
    </r>
    <r>
      <rPr>
        <i/>
        <sz val="9"/>
        <rFont val="Times New Roman"/>
        <family val="1"/>
      </rPr>
      <t>(please specify)</t>
    </r>
  </si>
  <si>
    <t xml:space="preserve">Total mineral soils </t>
  </si>
  <si>
    <t>Rewetted mineral soils</t>
  </si>
  <si>
    <r>
      <t xml:space="preserve">B. Cropland </t>
    </r>
    <r>
      <rPr>
        <b/>
        <vertAlign val="superscript"/>
        <sz val="9"/>
        <rFont val="Times New Roman"/>
        <family val="1"/>
      </rPr>
      <t>(5), (6)</t>
    </r>
  </si>
  <si>
    <r>
      <t xml:space="preserve">C.  Grassland </t>
    </r>
    <r>
      <rPr>
        <b/>
        <vertAlign val="superscript"/>
        <sz val="9"/>
        <rFont val="Times New Roman"/>
        <family val="1"/>
      </rPr>
      <t>(5)</t>
    </r>
  </si>
  <si>
    <t>NE,NA</t>
  </si>
  <si>
    <r>
      <t>D. Wetlands</t>
    </r>
    <r>
      <rPr>
        <b/>
        <vertAlign val="superscript"/>
        <sz val="9"/>
        <rFont val="Times New Roman"/>
        <family val="1"/>
      </rPr>
      <t xml:space="preserve"> (5)</t>
    </r>
  </si>
  <si>
    <t>D.1 Peat extraction lands</t>
  </si>
  <si>
    <t>Drained_Org_Soils</t>
  </si>
  <si>
    <t>Rewetted_Org_Soils</t>
  </si>
  <si>
    <t>Other_Org</t>
  </si>
  <si>
    <t>Rewetted_Min_Soils</t>
  </si>
  <si>
    <t>Other_Min</t>
  </si>
  <si>
    <t>D.2 Flooded lands</t>
  </si>
  <si>
    <r>
      <t xml:space="preserve">D.3 Other wetlands </t>
    </r>
    <r>
      <rPr>
        <i/>
        <sz val="9"/>
        <rFont val="Times New Roman"/>
        <family val="1"/>
      </rPr>
      <t>(please specify)</t>
    </r>
  </si>
  <si>
    <r>
      <t xml:space="preserve">H. Other </t>
    </r>
    <r>
      <rPr>
        <b/>
        <i/>
        <sz val="9"/>
        <rFont val="Times New Roman"/>
        <family val="1"/>
      </rPr>
      <t>(please specify)</t>
    </r>
    <r>
      <rPr>
        <b/>
        <sz val="9"/>
        <rFont val="Times New Roman"/>
        <family val="1"/>
      </rPr>
      <t xml:space="preserve"> </t>
    </r>
    <r>
      <rPr>
        <b/>
        <vertAlign val="superscript"/>
        <sz val="9"/>
        <rFont val="Times New Roman"/>
        <family val="1"/>
      </rPr>
      <t>(5)</t>
    </r>
  </si>
  <si>
    <r>
      <t xml:space="preserve">(1) </t>
    </r>
    <r>
      <rPr>
        <sz val="9"/>
        <rFont val="Times New Roman"/>
        <family val="1"/>
      </rPr>
      <t xml:space="preserve"> Nitrous oxide (N</t>
    </r>
    <r>
      <rPr>
        <vertAlign val="subscript"/>
        <sz val="9"/>
        <rFont val="Times New Roman"/>
        <family val="1"/>
      </rPr>
      <t>2</t>
    </r>
    <r>
      <rPr>
        <sz val="9"/>
        <rFont val="Times New Roman"/>
        <family val="1"/>
      </rPr>
      <t>O) emissions from drained cropland and grassland soils are covered in the agriculture tables of the CRF under cultivation of organic soils.</t>
    </r>
  </si>
  <si>
    <r>
      <t>(2)</t>
    </r>
    <r>
      <rPr>
        <sz val="9"/>
        <rFont val="Times New Roman"/>
        <family val="1"/>
      </rPr>
      <t xml:space="preserve"> A Party should report further disaggregations of drained soils corresponding to the methods used. Tier 1 disaggregates soils into "nutrient rich" and "nutrient poor" areas, whereas higher-tier methods can further disaggregate soils into different peatland types, soil fertility or tree species.</t>
    </r>
  </si>
  <si>
    <r>
      <t xml:space="preserve">(3)  </t>
    </r>
    <r>
      <rPr>
        <sz val="9"/>
        <rFont val="Times New Roman"/>
        <family val="1"/>
      </rPr>
      <t>In the calculation of the implied emission factor, N</t>
    </r>
    <r>
      <rPr>
        <vertAlign val="subscript"/>
        <sz val="9"/>
        <rFont val="Times New Roman"/>
        <family val="1"/>
      </rPr>
      <t>2</t>
    </r>
    <r>
      <rPr>
        <sz val="9"/>
        <rFont val="Times New Roman"/>
        <family val="1"/>
      </rPr>
      <t>O emissions are converted to N</t>
    </r>
    <r>
      <rPr>
        <vertAlign val="subscript"/>
        <sz val="9"/>
        <rFont val="Times New Roman"/>
        <family val="1"/>
      </rPr>
      <t>2</t>
    </r>
    <r>
      <rPr>
        <sz val="9"/>
        <rFont val="Times New Roman"/>
        <family val="1"/>
      </rPr>
      <t xml:space="preserve">O-N by multiplying by 28/44.  </t>
    </r>
  </si>
  <si>
    <r>
      <t>(4)</t>
    </r>
    <r>
      <rPr>
        <sz val="9"/>
        <rFont val="Times New Roman"/>
        <family val="1"/>
      </rPr>
      <t xml:space="preserve"> If CO</t>
    </r>
    <r>
      <rPr>
        <vertAlign val="subscript"/>
        <sz val="9"/>
        <rFont val="Times New Roman"/>
        <family val="1"/>
      </rPr>
      <t>2</t>
    </r>
    <r>
      <rPr>
        <sz val="9"/>
        <rFont val="Times New Roman"/>
        <family val="1"/>
      </rPr>
      <t xml:space="preserve"> emissions or removals from drainage of wetland soils are not already included in tables 4.A to 4.F, they are to be reported here. Parties may also choose to report CO</t>
    </r>
    <r>
      <rPr>
        <vertAlign val="subscript"/>
        <sz val="9"/>
        <rFont val="Times New Roman"/>
        <family val="1"/>
      </rPr>
      <t>2</t>
    </r>
    <r>
      <rPr>
        <sz val="9"/>
        <rFont val="Times New Roman"/>
        <family val="1"/>
      </rPr>
      <t xml:space="preserve"> emissions or removals from rewetting and other management activities here unless they are included elsewhere.  They should be clearly documented in the documentation box and in the NIR. Double counting should be avoided. Parties that include all carbon stock changes in the carbon stock tables (4.A-4.F), should report IE (included elsewhere) in this column.</t>
    </r>
  </si>
  <si>
    <r>
      <t>(5)</t>
    </r>
    <r>
      <rPr>
        <sz val="9"/>
        <rFont val="Times New Roman"/>
        <family val="1"/>
      </rPr>
      <t xml:space="preserve"> In table 4, these emissions will be added to the respective land-use category. </t>
    </r>
  </si>
  <si>
    <r>
      <rPr>
        <vertAlign val="superscript"/>
        <sz val="9"/>
        <rFont val="Times New Roman"/>
        <family val="1"/>
      </rPr>
      <t xml:space="preserve">(6) </t>
    </r>
    <r>
      <rPr>
        <sz val="9"/>
        <rFont val="Times New Roman"/>
        <family val="1"/>
      </rPr>
      <t>On-site CH</t>
    </r>
    <r>
      <rPr>
        <vertAlign val="subscript"/>
        <sz val="9"/>
        <rFont val="Times New Roman"/>
        <family val="1"/>
      </rPr>
      <t>4</t>
    </r>
    <r>
      <rPr>
        <sz val="9"/>
        <rFont val="Times New Roman"/>
        <family val="1"/>
      </rPr>
      <t xml:space="preserve"> emissions /removals from rice cultivation are included in the agriculture sector.</t>
    </r>
  </si>
  <si>
    <t>kiv N2O cropland converted from forest, t CO2-ekv LULUCF</t>
  </si>
  <si>
    <t>org N2O forest LULUCF</t>
  </si>
  <si>
    <t>org N2O metsä LULUCF</t>
  </si>
  <si>
    <t>kiv N2O LULUCF</t>
  </si>
  <si>
    <t>org N2O yksivuotisilta, maataloussektori</t>
  </si>
  <si>
    <t>org N2O nurmelta, maataloussektori</t>
  </si>
  <si>
    <t>päästökertoimet</t>
  </si>
  <si>
    <t>ka</t>
  </si>
  <si>
    <t>LULUCF kiv</t>
  </si>
  <si>
    <t>LULUCF org</t>
  </si>
  <si>
    <t>maataloussektori org</t>
  </si>
  <si>
    <t>yhteensä</t>
  </si>
  <si>
    <t>Talviaikainen kasvipeitteisyys</t>
  </si>
  <si>
    <t>N-huuhtouma, kg/v</t>
  </si>
  <si>
    <t>ominaisvaikuttavuus maataloussektori</t>
  </si>
  <si>
    <t>CO2, neg on päästö, pos on nielu</t>
  </si>
  <si>
    <t>org forest soil t CO2/ha</t>
  </si>
  <si>
    <t>kiv forest soil t CO2/ha</t>
  </si>
  <si>
    <t>puustobiomassa raivausvuonna t CO2/ha</t>
  </si>
  <si>
    <t>kiv converted cropland soil t CO2/ha</t>
  </si>
  <si>
    <t>vähenemä, sama sekä turve- että kivennäismaille</t>
  </si>
  <si>
    <t>päästövähenemä, t CO2</t>
  </si>
  <si>
    <t>päästövähenemä N2O, t CO2-ekv</t>
  </si>
  <si>
    <t>Turvemaita raivattu 2015-2019 keskimäärin 1961 ha vuodessa. Pyöristetään 2000 hehtaariin. GAECilla yksivuotisten raivaus, osuus 40%, poistuu. Lisäksi nurmen pysyvyyden vaatimus vähentää raivausta. Raivauksen vähenemä on siis 900 ha/vuosi.</t>
  </si>
  <si>
    <t>Kivennäismaita raivattu 2015-2019 keskimäärin 1980 ha vuodessa. Pyöristetään 2000 hehtaariin. GAECilla yksivuotisten raivaus, osuus 40%, poistuu. Lisäksi nurmen pysyvyyden vaatimus vähentää raivausta. Raivauksen vähenemä on siis 900 ha/vuosi.</t>
  </si>
  <si>
    <t>GAEC 6 Maanmuokkauksen hallinta</t>
  </si>
  <si>
    <t>GAEC 1 Pysyvä nurmi</t>
  </si>
  <si>
    <t>GAEC 10 Pysyvä nurmi Natura 2000-alueella</t>
  </si>
  <si>
    <t>Jäsenmaille vapaaehtoien KIV raivaus</t>
  </si>
  <si>
    <r>
      <rPr>
        <b/>
        <sz val="11"/>
        <color theme="1"/>
        <rFont val="Calibri"/>
        <family val="2"/>
        <scheme val="minor"/>
      </rPr>
      <t>GAEC 2</t>
    </r>
    <r>
      <rPr>
        <sz val="11"/>
        <color theme="1"/>
        <rFont val="Calibri"/>
        <family val="2"/>
        <scheme val="minor"/>
      </rPr>
      <t xml:space="preserve"> Kosteikot ja turvemaat Vuoden 2022? jälkeen maatalousmaaksi muusta käytöstä raivaamalla tai muilla keinoilla otettu turvemaa-alue on oltava pysyvästi nurmella.  Nurmikasvusto voidaan uusia suorakylvönä tai kevennetyllä muokkauksella niin, että uusi nurmikasvusto kylvetään välittömästi aiemman kasvuston muokkauksen jälkeen. Mahdollisesti tämän rajoituksen ulkopuolelle jätettäisiin kullakin peruslohkolla lohkon muotoa parantavat enintään 0,05 ha:n suuruiset kulmien oikaisut yms.  Turvemaan määritelmä: Turvemaalla tarkoitetaan maata, jonka muokkauskerroksen orgaanisen aineksen pitoisuus on vähintään 40 %. Suomessa kosteikot eivät kuulu maatalousmaan alaan, joten ehdollisuuteen ei aseteta kosteikkoja koskevaa vaatimusta. </t>
    </r>
  </si>
  <si>
    <r>
      <rPr>
        <b/>
        <sz val="11"/>
        <color theme="1"/>
        <rFont val="Calibri"/>
        <family val="2"/>
        <scheme val="minor"/>
      </rPr>
      <t>Jäsenmaalle vapaaehtoinen GAEC</t>
    </r>
    <r>
      <rPr>
        <sz val="11"/>
        <color theme="1"/>
        <rFont val="Calibri"/>
        <family val="2"/>
        <scheme val="minor"/>
      </rPr>
      <t xml:space="preserve"> Vuoden 2022? jälkeen maatalousmaaksi muusta käytöstä raivaamalla tai muilla keinoilla otettu kivennäismaa-alue on oltava pysyvästi nurmella. Nurmikasvusto voidaan uusia suorakylvönä tai kevennetyllä muokkauksella niin, että uusi nurmikasvusto kylvetään välittömästi aiemman kasvuston muokkauksen jälkeen. Mahdollisesti tämän rajoituksen ulkopuolelle jätettäisiin kullakin peruslohkolla lohkon muotoa parantavat enintään 0,05 ha:n kulmien oikaisut yms.   </t>
    </r>
  </si>
  <si>
    <t>GAEC 4 Suojakaistat vesistöjen varrella</t>
  </si>
  <si>
    <t>ha-lisäys</t>
  </si>
  <si>
    <t>kt CO2-ekv/vuosi</t>
  </si>
  <si>
    <t>GAEC 7 Vähimmäismaanpeite (Kynnetty kevyesti muokatuksi)</t>
  </si>
  <si>
    <t>kaltevat suojakaistat</t>
  </si>
  <si>
    <t>ala tällä kaudella</t>
  </si>
  <si>
    <t>Suojavyöhykkeet ja turvepeltojen nurmet</t>
  </si>
  <si>
    <t>ominaisvaikuttavuus LULUCF-sektori</t>
  </si>
  <si>
    <t>Valumavesien käsittely</t>
  </si>
  <si>
    <t>kosteikkojen hoito</t>
  </si>
  <si>
    <t>WAM-pinta-alat maatalous</t>
  </si>
  <si>
    <t>kosteikkojen lisäys/kosteikkoinvestointi</t>
  </si>
  <si>
    <t>ilmastokosteikot lisäys</t>
  </si>
  <si>
    <t>märät kosteikot kivennäismaalla lisäys</t>
  </si>
  <si>
    <t>märät kosteikot turvemaalla lisäys</t>
  </si>
  <si>
    <t>Ilmastokosteikot ennallistetun kertoimilla</t>
  </si>
  <si>
    <t>Laskentaan päästökerroin IPCC:n matalien keinotekoisten lammikkojen ja ojien/kanavien puolimaista: 300 kg CH4/ha eli 8 t CO2-ekv./ha (AR4)</t>
  </si>
  <si>
    <t>t CO2-ekv./ha</t>
  </si>
  <si>
    <t>Muut kosteikot</t>
  </si>
  <si>
    <t>päästö t CO2-ekv/ha/ha</t>
  </si>
  <si>
    <t>päästö CO-ekv</t>
  </si>
  <si>
    <t>päästö viljelysmaa</t>
  </si>
  <si>
    <t>päästövähennys, t CO2-ekv</t>
  </si>
  <si>
    <t>päästövähennys, t CO2-ekv/ha</t>
  </si>
  <si>
    <t>kt CO2-ekv</t>
  </si>
  <si>
    <t>kosteikot, keskimäärin vuodessa</t>
  </si>
  <si>
    <t>päästövähennys kt CO2-ekv. LULUCF</t>
  </si>
  <si>
    <t>päästövähennys t CO2-ekv/ha LULUCF</t>
  </si>
  <si>
    <t>ilmastokosteikot turvemaalla LULUCF</t>
  </si>
  <si>
    <t>märät kosteikot turvemaalla LULUCF</t>
  </si>
  <si>
    <t>märät kosteikot kivennäismaalla LULUCF</t>
  </si>
  <si>
    <t>ilmastokosteikot turvemaalla AGRI</t>
  </si>
  <si>
    <t>märät kosteikot turvemaalla AGRI</t>
  </si>
  <si>
    <t>märät kosteikot kivennäismaalla AGRI</t>
  </si>
  <si>
    <t>t CO2-ekv/ha</t>
  </si>
  <si>
    <t>päästövähennys kt CO2-ekv. AGRI</t>
  </si>
  <si>
    <t>päästövähennys t CO2-ekv/ha AGRI</t>
  </si>
  <si>
    <t>tarkistus</t>
  </si>
  <si>
    <t>ominaisvaikuttavuus yhteensä</t>
  </si>
  <si>
    <t>ominaisvaikuttavuus ka, t</t>
  </si>
  <si>
    <t>GAEC 2 Kosteikot ja turvemaat</t>
  </si>
  <si>
    <t>maataloussektori org + huuhtouma</t>
  </si>
  <si>
    <t>päästövähenemä yhteensä, kt CO2-ekv</t>
  </si>
  <si>
    <t>Tilakohtainen toimenpide</t>
  </si>
  <si>
    <t>Kosteikkojen hoito -sopimus</t>
  </si>
  <si>
    <t>Ehdollisuus</t>
  </si>
  <si>
    <t>GAEC 9 Haitallisten vieraslajien torjunta Hukkakaura, kaukasianjättiputki, persianjättiputki ja armenianjättiputki on torjuttava maatalousmaalla.</t>
  </si>
  <si>
    <t xml:space="preserve">Lakisääteiset hoitovaatimukset </t>
  </si>
  <si>
    <t>Ekojärjestelmä</t>
  </si>
  <si>
    <t>Ympäristökorvaus</t>
  </si>
  <si>
    <t>Tilakohtainen  toimenpide</t>
  </si>
  <si>
    <t>Vaihtoehtoiset kasvinsuojelumenetelmät puutarhakasveilla</t>
  </si>
  <si>
    <t>Lintupellot</t>
  </si>
  <si>
    <t>Maatalousluonnon ja maiseman hoito -sopimus</t>
  </si>
  <si>
    <t>Alkuperäisrotujen kasvatus -sopimus</t>
  </si>
  <si>
    <t>Muut geenipankkitoimenpiteet</t>
  </si>
  <si>
    <t>Ei-tuotannollinen investointi</t>
  </si>
  <si>
    <t>Kosteikkojen investointi</t>
  </si>
  <si>
    <t>Luonnonmukainen tuotanto</t>
  </si>
  <si>
    <t>Investointituet</t>
  </si>
  <si>
    <t>Maatilojen energiainvestoinnit</t>
  </si>
  <si>
    <t>Ympäristön tilaa ja kestävää tuotantotapaa edistävät investoinnit</t>
  </si>
  <si>
    <t>Eläinten hyvinvointi</t>
  </si>
  <si>
    <t>Hyvinvointisuunnitelmat</t>
  </si>
  <si>
    <t>Laidunnus</t>
  </si>
  <si>
    <t>GAEC 1 Pysyvä nurmi Pysyvän nurmen viitesuhde eli pysyvän nurmen suhde maatalousmaan alaan ei saa koko maassa vähentyä yli 5 %. Jos vähenee, otetaan käyttöön ennallistamismenettely ja pysyvän nurmen muuhun käyttöön ottamisen kielto.</t>
  </si>
  <si>
    <t xml:space="preserve">GAEC 2 Kosteikot ja turvemaat Vuoden 2022 jälkeen maatalousmaaksi muusta käytöstä raivaamalla tai muilla keinoilla otettu turvemaa-alue on oltava pysyvästi nurmella.  Nurmikasvusto voidaan uusia suorakylvönä tai kevennetyllä muokkauksella niin, että uusi nurmikasvusto kylvetään välittömästi aiemman kasvuston muokkauksen jälkeen. Rajoituksen ulkopuolelle jätetään kullakin peruslohkolla lohkon muotoa parantavat pienet kulmien oikaisut yms.  Turvemaan määritelmä: Turvemaalla tarkoitetaan maata, jonka muokkauskerroksen orgaanisen aineksen pitoisuus on vähintään 40 %. Suomessa kosteikot eivät kuulu maatalousmaan alaan, joten ehdollisuuteen ei aseteta kosteikkoja koskevaa vaatimusta. 
</t>
  </si>
  <si>
    <t>GAEC 3 Sängen poltto Viljojen, öljykasvien, kuitukasvien, palkokasvien ja siemenmausteiden sänkeä ei saa polttaa.</t>
  </si>
  <si>
    <t>GAEC 4 Suojakaistat vesistöjen varrella Vesistöjen varrella sijaitsevilla maatalousmaan lohkoilla on oltava vesistöön rajoittuvalla lohkon rajalla muokkaamaton kasvipeitteinen vähintään 3 metrin suojakaista, jolla ei saa käyttää lannoitteita eikä kasvinsuojeluaineita HUOM Seuraava poistui EU-asetuksesta+ nitraattiasetuksen mukainen suojakaista koskien lannoitteiden ja lannan levitystä vesistöjen varren lohkoilla.</t>
  </si>
  <si>
    <t>GAEC 6 Maanmuokkauksen hallinta GAEC 4:n mukaiset suojakaistat vesistöjen varrella, joiden kaltevuus väh. 15 %, Åland väh. 10 %</t>
  </si>
  <si>
    <t xml:space="preserve">GAEC 9 Tuottamattomat alat Vähintään 4 ja enintään 10 % tilan peltoalasta seuraavassa käytössä:  * kesantoa, jolla ei saa harjoittaa maataloustuotantoa eikä käyttää kasvinsuojeluaineita kesantokaudella 1.1.-31.8.* GAEC 4:n mukaiset suojakaistat vesistöjen varrella. Huom. tästä poistettu tässä aiemmin ollut vaihtoehto "typensitojakasvien viljelystä, ilman kasvisuojeluaineiden käyttöä" </t>
  </si>
  <si>
    <t>GAEC 9 Maisemapiirteiden suojelu Suojellut puuryhmät ja yksittäiset puut ja luonnonmuistomerkit on säilytettävä.</t>
  </si>
  <si>
    <t>GAEC 9 Puiden leikkauskielto lintujen pesimäaikana Maatalousmaalla olevia suojeltuja puita ei saa kaataa eikä leikata 1.5-31.7.</t>
  </si>
  <si>
    <t>GAEC 10 Pysyvä nurmi Natura2000-alueilla Natura2000 -alueilla sijaitsevat pysyvät nurmet on säilytettävä eikä niitä saa kyntää</t>
  </si>
  <si>
    <t xml:space="preserve">Jäsenmaalle vapaaehtoinen GAEC Vuoden 2022 jälkeen maatalousmaaksi muusta käytöstä raivaamalla tai muilla keinoilla otettu kivennäismaa-alue on oltava pysyvästi nurmella. Nurmikasvusto voidaan uusia suorakylvönä tai kevennetyllä muokkauksella niin, että uusi nurmikasvusto kylvetään välittömästi aiemman kasvuston muokkauksen jälkeen. Rajoituksen ulkopuolelle jätetään kullakin peruslohkolla lohkon muotoa parantavat pienet kulmien oikaisut yms.   
</t>
  </si>
  <si>
    <t xml:space="preserve">SMR 3 Lintudirektiivi 2009/147/EY artikla 3(1), 3(2)(b) ja 4(1), 4(2) ja 4(4): Kansallinen toimeenpano: Maatalousmaalla sijaitsevan suojeltavien lintujen elinympäristöjen heikentämiskielto Natura2000-alueella, luonnonsuojelualueella ja muilla suojelupäätösten mukaisilla alueilla   </t>
  </si>
  <si>
    <t>SMR 4 Luontodirektiivi 92/43/ETY artikla 6(1) ja 6(2): Kansallinen toimeenpano: Maatalousmaalla sijaitsevien Natura2000-alueen luontotyyppien ja lajien heikentämiskielto sekä maatalousmaalla sijaitsevien luonnonsuojelualueiden heikentämiskielto</t>
  </si>
  <si>
    <t>SMR 12 Kasvinsuojeluaineasetus (EY) N:o 1107/2009 artikla 55 ensimmäinen ja toinen virke: Kansallinen toimeenpano:  Kasvinsuojeluaineiden säilytyksen ja käytön säännöt</t>
  </si>
  <si>
    <t xml:space="preserve">SMR 13 Torjunta-ainedirektiivi 2009/128/EY artikla 5(2), 8(1–5), 12 artikla torjunta-aineiden käyttöä vesipuitedirektiivin ja Natura 2000 -ohjelmaa koskevan lainsäädännön perusteella määritellyillä suojelualueilla koskevien rajoitusten osalta sekä artikla 13(1) ja 13(3) torjunta-aineiden käsittelyn ja varastoinnin sekä jäännösten hävittämisen osalta:  Torjunta-aineiden koulutusvaatimus + kasvinsuojeluaineiden levitysvälineiden testaus + torjunta-aineiden käytön ja varastoinnin vaatimukset 
 </t>
  </si>
  <si>
    <t xml:space="preserve">Luonnonhoitopeltonurmet Kyseisenä vuonna tai aiemmin kylvetty nurmikasvusto. Nurmi voidaan perustaa edellisenä vuonna suojaviljaan. Monilajiseksi kehittyneet luonnonvaraisia heiniä ja ruohovartisia kasveja sisältävät vanhat nurmikasvustot ovat hyväksyttäviä. Siemenseoksen painosta enintään 20 % voi olla typensitojakasvia. Ei saa käyttää lannoitteita eikä kasvinsuojeluaineita. Nurmi on säilytettävä 1.9. asti, jonka jälkeen kasvinsuojeluaineiden käyttö on sallittua.
</t>
  </si>
  <si>
    <t>Viherlannoitusnurmet Kyseisenä vuonna kylvetty tai edellisenä vuonna suojaviljaan perustettu nurmi. Siemenseoksessa on oltava vähintään kahta nurmikasvien lajia. Siemenseoksen painosta vähintään 20 % on oltava typensitojakasvia. Ei saa käyttää lannoitteita eikä kasvinsuojeluaineita. Nurmi on säilytettävä 1.9. asti, jonka jälkeen kasvinsuojeluaineiden käyttö on sallittua. Syysviljojen ja syysöljykasvien kylvö on kuitenkin sallittua toisen ja kolmannen vuoden viherlannoitusnurmilla 1.8. alkaen.</t>
  </si>
  <si>
    <t xml:space="preserve">Talviaikainen kasvipeite (sänki- ja kasvipeite) Sängellä tai kasveilla lokakuun lopusta seuraavan kevään kylvömuokkaukseen tai kylvöön asti säilytettävät seuraavat alat: 
• viljan, öljykasvien, kuitukasvien, palkokasvien ja siemenmausteiden sänki 
• monivuotiset viljellyt nurmet, talven yli säilytettävät yksivuotiset nurmet ja ruokohelpi, pois lukien luonnonlaitumet ja muut vastaavat alat;
• kumina
• monivuotiset puutarhakasvit, pois lukien pysyvät puutarhakasvit (kuten hedelmäpuut ja marjapensaat) • syysruis, ruisvehnä, syysvehnä, spelttivehnä ja muut syyskylvöiset viljat, syysrypsi, syysrapsi ja muut syyskylvöiset öljykasvit sekä muut syyskylvöiset kasvit
• keväällä korjattava pellava ja hamppu 
• kerääjäkasvit 
• ekojärjestelmän luonnonhoitopeltonurmet, viherlannoitusnurmet ja monimuotoisuuskasvit 
• sänki- ja viherkesannot </t>
  </si>
  <si>
    <t>Monimuotoisuuskasvit (Pölyttäjä-, maisema-, riista-, niitty- ja peltolintukasvit) Kyseisenä vuonna kylvetty kasvusto, syyskylvöiset kasvit voi kylvää edellisen vuoden syksyllä. Ei saa käyttää lannoitteita eikä kasvinsuojeluaineita. Kasvusto on säilytettävä 30.9. asti. Ei saa laiduntaa eikä korjata satoa paitsi riistakasvien sadon saa korjata, samoin mehiläisten tekemä sadonkorjuu on sallittu.</t>
  </si>
  <si>
    <t>OMINAISVAIKUTTAVUUS: Vähennetään KHK-päästöjä maataloussektorilla (t CO2 ekv./ha/v)</t>
  </si>
  <si>
    <t>KOKONAISVAIKUTTAVUUS: Vähennetään KHK-päästöjä maataloussektorilla (kt CO2 ekv./v)</t>
  </si>
  <si>
    <t>OMINAISVAIKUTTAVUUS: Vähennetään  KHK-päästöjä LULUCF-sektorilla (t CO2 ekv./ha/v)</t>
  </si>
  <si>
    <t>KOKONAISVAIKUTTAVUUS: Vähennetään  KHK-päästöjä LULUCF-sektorilla (kt CO2 ekv./v)</t>
  </si>
  <si>
    <t xml:space="preserve">Toimi </t>
  </si>
  <si>
    <t>Tukilaji</t>
  </si>
  <si>
    <t>negatiivinen on päästö</t>
  </si>
  <si>
    <t>x</t>
  </si>
  <si>
    <t>Monivuotiset ympäristönurmet</t>
  </si>
  <si>
    <t>Turvemaita raivattu 2015-2019 keskimäärin 1961 ha vuodessa, kiv. maita keskimäärin 1980 ha vuodessa. Pyöristetään molemmat 2000 hehtaariin. GAECilla yksivuotisten raivaus, osuus 40%, poistuu. Raivauksen vähenemä on siis 800 ha/vuosi turvemailla ja 800 ha/vuosi kivennäismailla. Lasketaan joka kauden vuodelle kumulatiivinen pinta-alaero ja sille päästöt. MMM:n näkemys: raivaus vähenee vielä enemmän -&gt; 900 ha/vuosi turvemailla ja 800 ha/vuosi kivennäismailla.</t>
  </si>
  <si>
    <t>maataloussektori kt CO2-ekv</t>
  </si>
  <si>
    <t>päästövähennys &amp; huuhtouma, kt CO2-ekv AGRI</t>
  </si>
  <si>
    <t>päästövähennys &amp; huuhtouma, t CO2-ekv/ha AGRI</t>
  </si>
  <si>
    <t>LULUCF kiv +huuhtouma</t>
  </si>
  <si>
    <t>Hehtaarit: viimeisin tilanne.</t>
  </si>
  <si>
    <t>kg NH4-N/ha</t>
  </si>
  <si>
    <t>Huuhtouma</t>
  </si>
  <si>
    <t>Haihtuma</t>
  </si>
  <si>
    <t>kg N2O/ha</t>
  </si>
  <si>
    <t>2006 IPCC GL</t>
  </si>
  <si>
    <r>
      <t xml:space="preserve">Emission factor (EF), </t>
    </r>
    <r>
      <rPr>
        <sz val="9"/>
        <rFont val="Arial"/>
        <family val="2"/>
      </rPr>
      <t>kg N</t>
    </r>
    <r>
      <rPr>
        <vertAlign val="subscript"/>
        <sz val="9"/>
        <rFont val="Arial"/>
        <family val="2"/>
      </rPr>
      <t>2</t>
    </r>
    <r>
      <rPr>
        <sz val="9"/>
        <rFont val="Arial"/>
        <family val="2"/>
      </rPr>
      <t>O-N / kg NH</t>
    </r>
    <r>
      <rPr>
        <vertAlign val="subscript"/>
        <sz val="9"/>
        <rFont val="Arial"/>
        <family val="2"/>
      </rPr>
      <t>4</t>
    </r>
    <r>
      <rPr>
        <sz val="9"/>
        <rFont val="Arial"/>
        <family val="2"/>
      </rPr>
      <t>-N &amp; NO</t>
    </r>
    <r>
      <rPr>
        <vertAlign val="subscript"/>
        <sz val="9"/>
        <rFont val="Arial"/>
        <family val="2"/>
      </rPr>
      <t>X</t>
    </r>
    <r>
      <rPr>
        <sz val="9"/>
        <rFont val="Arial"/>
        <family val="2"/>
      </rPr>
      <t>-N, sewage, manure, fertiliser</t>
    </r>
  </si>
  <si>
    <r>
      <t xml:space="preserve">Emission factor (EF), </t>
    </r>
    <r>
      <rPr>
        <sz val="9"/>
        <rFont val="Arial"/>
        <family val="2"/>
      </rPr>
      <t>kg N</t>
    </r>
    <r>
      <rPr>
        <vertAlign val="subscript"/>
        <sz val="9"/>
        <rFont val="Arial"/>
        <family val="2"/>
      </rPr>
      <t>2</t>
    </r>
    <r>
      <rPr>
        <sz val="9"/>
        <rFont val="Arial"/>
        <family val="2"/>
      </rPr>
      <t>O-N / kg N leached</t>
    </r>
  </si>
  <si>
    <t>44/28</t>
  </si>
  <si>
    <t>N2O-N -&gt; N2O</t>
  </si>
  <si>
    <t>kg N/ha</t>
  </si>
  <si>
    <t>Hehtaareita</t>
  </si>
  <si>
    <t>ha</t>
  </si>
  <si>
    <t>yhteensä per ha</t>
  </si>
  <si>
    <t>AR4 N2O</t>
  </si>
  <si>
    <t>Haihtuman vähennys</t>
  </si>
  <si>
    <t>Huuhtouman vähennys</t>
  </si>
  <si>
    <t>org</t>
  </si>
  <si>
    <t>min/org</t>
  </si>
  <si>
    <t>min</t>
  </si>
  <si>
    <t>freshwater and brackish ponds</t>
  </si>
  <si>
    <t>vesiensuojelu/monimuotoisuuskosteikko</t>
  </si>
  <si>
    <t>IPCC 2019 Refinement</t>
  </si>
  <si>
    <t>Table 7.12 (New) CH4 emission factors for other constructed water bodies (freshwater ponds, saline ponds, canals, drainage channels and ditches)</t>
  </si>
  <si>
    <t>canals and ditches</t>
  </si>
  <si>
    <t>95% conv min pros</t>
  </si>
  <si>
    <t>95% conv max pros</t>
  </si>
  <si>
    <t>ARVIO märkä kosteikko (riista-, vesiensuojelu ym.)</t>
  </si>
  <si>
    <t>kg CH4/ha/d (open water season)</t>
  </si>
  <si>
    <t>IPCC 2006 wetlands, used in national inventory</t>
  </si>
  <si>
    <t>land converted to flooded land</t>
  </si>
  <si>
    <t>IPCC 2006</t>
  </si>
  <si>
    <t>t CO2-ekv./ha/yr (assuming 180 days of open water)</t>
  </si>
  <si>
    <t>kts. Lietelannan sijoittaminen</t>
  </si>
  <si>
    <t>Valumavesien hallinta</t>
  </si>
  <si>
    <t>Tapio Salo / Luke 24.8.2021</t>
  </si>
  <si>
    <t>EF CO2-ekv. (AR4)</t>
  </si>
  <si>
    <t>LULUCF kiv + huuhtouma AR5</t>
  </si>
  <si>
    <t>AR5 päästövähennys CO-ekv/ha</t>
  </si>
  <si>
    <t>LULUCF org AR5</t>
  </si>
  <si>
    <r>
      <t>A</t>
    </r>
    <r>
      <rPr>
        <b/>
        <sz val="8"/>
        <color theme="1"/>
        <rFont val="Calibri"/>
        <family val="2"/>
        <scheme val="minor"/>
      </rPr>
      <t>R5 KOKONAISVAIKUTTAVUUS: Vähennetään  KHK-päästöjä LULUCF-sektorilla (kt CO2 ekv./v)</t>
    </r>
  </si>
  <si>
    <t>vuosittainen ala ilman toimea aiemmalla tukikaudella (ha)</t>
  </si>
  <si>
    <t xml:space="preserve">GAEC 7 Vähimmäismaanpeite Kesannot: Kesantojen on oltava pääsääntöisesti viher- tai sänkipeitteisiä 30.6.-31.8., poikkeusmahdollisuus avokesannoille ja syyskylvöisten kasvien kylvömahdollisuus. Talviaikainen maanpeite: Jos tilalla tehdään kasvukauden kasvuston syysmuokkausta, se voidaan tehdä pääosin ainoastaan kevennettynä muokkauksena niin, että enintään 45 % syysmuokattavasta peltoalasta voidaan muokata raskaammin kuin kevennetyllä muokkauksella. Kevennetyn muokkauksen myötä maatalousmaalle jäävä maanpeite on säilytettävä kevään kylvömuokkaukseen tai kylvöön asti. </t>
  </si>
  <si>
    <t>GAEC 8 Viljelykierto/viljelyn monipuolistaminen Jos viljelyn monipuolistaminen: Tilakoosta riippuen tilalla on viljeltävä vähintään kahta tai kolmea eri viljelykasvia ja pääkasvin osuus saa olla enintään 75 % peltoalasta. Jos tilalla on kolmen kasvin vaatimus (AB-alueen yli 30 ha:n tilat), kahden eniten viljellyn kasvin osuus saa olla enintään 90 %). HUOM. Seuraava viljelykierron vaatimus ei EU-asetuksen muutoksen vuoksi ole mahdollinen. Tämän vuoksi lausuntokierroksella on vain viljelyn monipuolistamisen vaatimus. Jos viljelykierron vaatimus: Viljojen, valkuaiskasvien, öljykasvien, perunan, sokerijuurikkaan tai yksivuotisten avomaan puutarhakasvien viljelyssä olevalla kasvulohkolla, jolta sama viljelijä hakee tukea kyseisenä vuonna ja kahtena? edeltävänä vuonna, on viljeltävä eri viljelykasvia yhtenä vuonna tarkasteltavan kolmen? vuoden jaksolla, ellei lohkolla ole tämän jakson aikana viljelty kerääjäkasvia tai muuta välikasvia yhtenä vuonna.</t>
  </si>
  <si>
    <t xml:space="preserve">SMR1 Vesipuitedirektiivi 2000/60/EY artikla 11(3)(e) ja (h) alakohta fosfaattien aiheuttaman hajakuormituksen hallintaa koskevien pakollisten vaatimusten osalta: Kansallinen toimeenpano: Pinta- tai pohjavedenotto vesilain mukaisesti kasteluun + ympäristösuojelulain mukaiset pohjaveden suojelua koskevat vaatimukset + fosforilannoituksen enimmäistaso + fosfaattien osalta eläinsuojien ympäristöluvan ja ilmoituspäätöksen olemassaolo </t>
  </si>
  <si>
    <t>SMR 2 Nitraattidirektiivi 91/676/ETY 4 ja 5 artikla: Kansallinen toimeenpano: GAEC 4:n mukaiset nitraattiasetuksen mukaiset kaistat + typpilannoituksen enimmäismäärä + lannan varastointia ja käyttöä koskevat säännöt</t>
  </si>
  <si>
    <t>Hei</t>
  </si>
  <si>
    <t xml:space="preserve">Tämä Excel-taulukko sisältää Suomen CAP-suunnitelmaluonnoksen ympäristövakuttavuuden kasvihuonekaasupäästöjen laskennassa käytetyt muuttujat.
</t>
  </si>
  <si>
    <t>31.8.2021 MMM &amp; Luke</t>
  </si>
  <si>
    <t>Mt</t>
  </si>
  <si>
    <t>CAP-luonnoksen päästövähennys nykypäästöihin verrattuna</t>
  </si>
  <si>
    <t>%</t>
  </si>
  <si>
    <t>Positiiviset päästövähennystä</t>
  </si>
  <si>
    <t>Negatiiviset luvut ovat päästökasvua</t>
  </si>
  <si>
    <t>Päästöt kasvavat 0,5 %</t>
  </si>
  <si>
    <t>Nämä nollille koska kasvun vähenemistä ei lasketa päästövähenemäksi</t>
  </si>
  <si>
    <t xml:space="preserve">Raivaamattoman metsän päästöä ei huomioida tässä </t>
  </si>
  <si>
    <t>Tässä oletettu raivattava ala 1200 ha negatiivisena lukuna jolloin saadaan sen aiheuttama päästö menemään läpi laskennan koontiin saakka</t>
  </si>
  <si>
    <t>Laskenta "raivaus" välilehdellä</t>
  </si>
  <si>
    <t>Oletus että kivennäismaiden nielut aidosti lisäisiä</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</si>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</sst>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
    <numFmt numFmtId="167" formatCode="0.0000000000000"/>
    <numFmt numFmtId="168" formatCode="0.000000000"/>
  </numFmts>
  <fonts count="37"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2"/>
      <name val="Times New Roman"/>
      <family val="1"/>
    </font>
    <font>
      <sz val="10"/>
      <name val="Arial"/>
      <family val="2"/>
    </font>
    <font>
      <sz val="9"/>
      <name val="Times New Roman"/>
      <family val="1"/>
    </font>
    <font>
      <sz val="9"/>
      <color indexed="8"/>
      <name val="Times New Roman"/>
      <family val="1"/>
    </font>
    <font>
      <sz val="10"/>
      <name val="Times New Roman"/>
      <family val="1"/>
    </font>
    <font>
      <b/>
      <sz val="9"/>
      <name val="Times New Roman"/>
      <family val="1"/>
    </font>
    <font>
      <b/>
      <vertAlign val="subscript"/>
      <sz val="9"/>
      <name val="Times New Roman"/>
      <family val="1"/>
    </font>
    <font>
      <b/>
      <vertAlign val="superscript"/>
      <sz val="9"/>
      <name val="Times New Roman"/>
      <family val="1"/>
    </font>
    <font>
      <sz val="11"/>
      <color indexed="8"/>
      <name val="Calibri"/>
      <family val="2"/>
    </font>
    <font>
      <vertAlign val="superscript"/>
      <sz val="9"/>
      <name val="Times New Roman"/>
      <family val="1"/>
    </font>
    <font>
      <sz val="9"/>
      <color theme="0"/>
      <name val="Times New Roman"/>
      <family val="1"/>
    </font>
    <font>
      <b/>
      <vertAlign val="subscript"/>
      <sz val="12"/>
      <name val="Times New Roman"/>
      <family val="1"/>
    </font>
    <font>
      <sz val="12"/>
      <name val="Times New Roman"/>
      <family val="1"/>
    </font>
    <font>
      <vertAlign val="subscript"/>
      <sz val="9"/>
      <name val="Times New Roman"/>
      <family val="1"/>
    </font>
    <font>
      <i/>
      <sz val="9"/>
      <name val="Times New Roman"/>
      <family val="1"/>
    </font>
    <font>
      <sz val="11"/>
      <color rgb="FF9C0006"/>
      <name val="Calibri"/>
      <family val="2"/>
      <scheme val="minor"/>
    </font>
    <font>
      <b/>
      <sz val="9"/>
      <color indexed="81"/>
      <name val="Tahoma"/>
      <family val="2"/>
    </font>
    <font>
      <sz val="9"/>
      <color indexed="81"/>
      <name val="Tahoma"/>
      <family val="2"/>
    </font>
    <font>
      <sz val="10"/>
      <color indexed="10"/>
      <name val="Arial"/>
      <family val="2"/>
    </font>
    <font>
      <sz val="9"/>
      <color indexed="10"/>
      <name val="Arial"/>
      <family val="2"/>
    </font>
    <font>
      <vertAlign val="subscript"/>
      <sz val="9"/>
      <color indexed="10"/>
      <name val="Arial"/>
      <family val="2"/>
    </font>
    <font>
      <b/>
      <vertAlign val="superscript"/>
      <sz val="10"/>
      <name val="Times New Roman"/>
      <family val="1"/>
    </font>
    <font>
      <sz val="9"/>
      <name val="Times New Roman"/>
      <family val="1"/>
    </font>
    <font>
      <b/>
      <vertAlign val="superscript"/>
      <sz val="12"/>
      <name val="Times New Roman"/>
      <family val="1"/>
    </font>
    <font>
      <b/>
      <sz val="9"/>
      <color indexed="8"/>
      <name val="Times New Roman"/>
      <family val="1"/>
    </font>
    <font>
      <sz val="9"/>
      <name val="Times New Roman"/>
      <family val="1"/>
      <charset val="204"/>
    </font>
    <font>
      <b/>
      <i/>
      <sz val="9"/>
      <name val="Times New Roman"/>
      <family val="1"/>
    </font>
    <font>
      <sz val="10"/>
      <color theme="1"/>
      <name val="Calibri"/>
      <family val="2"/>
      <scheme val="minor"/>
    </font>
    <font>
      <sz val="9"/>
      <name val="Arial"/>
      <family val="2"/>
    </font>
    <font>
      <vertAlign val="subscript"/>
      <sz val="9"/>
      <name val="Arial"/>
      <family val="2"/>
    </font>
    <font>
      <sz val="8"/>
      <name val="Calibri"/>
      <family val="2"/>
      <scheme val="minor"/>
    </font>
    <font>
      <sz val="9"/>
      <color theme="1"/>
      <name val="Calibri"/>
      <family val="2"/>
      <scheme val="minor"/>
    </font>
    <font>
      <b/>
      <sz val="8"/>
      <color theme="1"/>
      <name val="Calibri"/>
      <family val="2"/>
      <scheme val="minor"/>
    </font>
  </fonts>
  <fills count="16">
    <fill>
      <patternFill patternType="none"/>
    </fill>
    <fill>
      <patternFill patternType="gray125"/>
    </fill>
    <fill>
      <patternFill patternType="solid">
        <fgColor rgb="FFFFCC99"/>
      </patternFill>
    </fill>
    <fill>
      <patternFill patternType="solid">
        <fgColor indexed="9"/>
        <bgColor indexed="64"/>
      </patternFill>
    </fill>
    <fill>
      <patternFill patternType="solid">
        <fgColor indexed="47"/>
        <bgColor indexed="64"/>
      </patternFill>
    </fill>
    <fill>
      <patternFill patternType="solid">
        <fgColor rgb="FF969696"/>
      </patternFill>
    </fill>
    <fill>
      <patternFill patternType="solid">
        <fgColor rgb="FFFFFFFF"/>
      </patternFill>
    </fill>
    <fill>
      <patternFill patternType="solid">
        <fgColor indexed="55"/>
        <bgColor indexed="64"/>
      </patternFill>
    </fill>
    <fill>
      <patternFill patternType="solid">
        <fgColor rgb="FFFFC7CE"/>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medium">
        <color indexed="64"/>
      </top>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style="medium">
        <color indexed="64"/>
      </left>
      <right/>
      <top/>
      <bottom/>
      <diagonal/>
    </border>
    <border diagonalDown="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indexed="64"/>
      </bottom>
      <diagonal/>
    </border>
  </borders>
  <cellStyleXfs count="18">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xf numFmtId="0" fontId="7" fillId="0" borderId="0" applyNumberFormat="0">
      <alignment horizontal="right"/>
    </xf>
    <xf numFmtId="0" fontId="8" fillId="0" borderId="0"/>
    <xf numFmtId="0" fontId="12" fillId="0" borderId="0"/>
    <xf numFmtId="0" fontId="5" fillId="0" borderId="22"/>
    <xf numFmtId="0" fontId="6" fillId="0" borderId="0"/>
    <xf numFmtId="4" fontId="6" fillId="0" borderId="0"/>
    <xf numFmtId="0" fontId="19" fillId="8" borderId="0" applyNumberFormat="0" applyBorder="0" applyAlignment="0" applyProtection="0"/>
    <xf numFmtId="0" fontId="5" fillId="0" borderId="26"/>
    <xf numFmtId="4" fontId="5" fillId="0" borderId="0"/>
    <xf numFmtId="4" fontId="5" fillId="0" borderId="0"/>
    <xf numFmtId="4" fontId="5" fillId="4" borderId="13"/>
    <xf numFmtId="0" fontId="28" fillId="4" borderId="28">
      <alignment horizontal="right" vertical="center"/>
    </xf>
    <xf numFmtId="0" fontId="7" fillId="4" borderId="29">
      <alignment horizontal="right" vertical="center"/>
    </xf>
    <xf numFmtId="0" fontId="7" fillId="4" borderId="29">
      <alignment horizontal="left" vertical="center"/>
    </xf>
  </cellStyleXfs>
  <cellXfs count="326">
    <xf numFmtId="0" fontId="0" fillId="0" borderId="0" xfId="0"/>
    <xf numFmtId="1" fontId="0" fillId="0" borderId="0" xfId="0" applyNumberFormat="1"/>
    <xf numFmtId="3" fontId="0" fillId="0" borderId="0" xfId="0" applyNumberFormat="1"/>
    <xf numFmtId="0" fontId="1" fillId="0" borderId="0" xfId="0" applyFont="1" applyAlignment="1">
      <alignment vertical="top" wrapText="1"/>
    </xf>
    <xf numFmtId="0" fontId="3" fillId="0" borderId="0" xfId="0" applyFont="1"/>
    <xf numFmtId="164" fontId="0" fillId="0" borderId="0" xfId="0" applyNumberFormat="1"/>
    <xf numFmtId="2" fontId="0" fillId="0" borderId="0" xfId="0" applyNumberFormat="1"/>
    <xf numFmtId="165" fontId="0" fillId="0" borderId="0" xfId="0" applyNumberFormat="1"/>
    <xf numFmtId="0" fontId="4" fillId="3" borderId="0" xfId="2" applyFill="1" applyAlignment="1"/>
    <xf numFmtId="0" fontId="6" fillId="3" borderId="0" xfId="3" applyFont="1" applyFill="1"/>
    <xf numFmtId="0" fontId="6" fillId="3" borderId="0" xfId="4" applyFont="1" applyFill="1">
      <alignment horizontal="right"/>
    </xf>
    <xf numFmtId="0" fontId="6" fillId="0" borderId="0" xfId="3" applyFont="1"/>
    <xf numFmtId="0" fontId="6" fillId="3" borderId="0" xfId="5" applyFont="1" applyFill="1" applyAlignment="1">
      <alignment horizontal="center" vertical="center"/>
    </xf>
    <xf numFmtId="0" fontId="6" fillId="3" borderId="0" xfId="5" applyFont="1" applyFill="1" applyAlignment="1">
      <alignment horizontal="center" vertical="center" wrapText="1"/>
    </xf>
    <xf numFmtId="9" fontId="6" fillId="3" borderId="0" xfId="1" applyFont="1" applyFill="1" applyAlignment="1">
      <alignment horizontal="center" vertical="center" wrapText="1"/>
    </xf>
    <xf numFmtId="0" fontId="6" fillId="3" borderId="0" xfId="5" applyFont="1" applyFill="1" applyAlignment="1">
      <alignment horizontal="left" vertical="center" wrapText="1"/>
    </xf>
    <xf numFmtId="0" fontId="9" fillId="4" borderId="13" xfId="5" applyFont="1" applyFill="1" applyBorder="1" applyAlignment="1">
      <alignment horizontal="center" vertical="center" wrapText="1"/>
    </xf>
    <xf numFmtId="0" fontId="9" fillId="4" borderId="10" xfId="5" applyFont="1" applyFill="1" applyBorder="1" applyAlignment="1">
      <alignment horizontal="center" vertical="center" wrapText="1"/>
    </xf>
    <xf numFmtId="0" fontId="9" fillId="4" borderId="14" xfId="5" applyFont="1" applyFill="1" applyBorder="1" applyAlignment="1">
      <alignment horizontal="center" vertical="center" wrapText="1"/>
    </xf>
    <xf numFmtId="0" fontId="9" fillId="4" borderId="20" xfId="6" applyFont="1" applyFill="1" applyBorder="1" applyAlignment="1">
      <alignment horizontal="center" vertical="center"/>
    </xf>
    <xf numFmtId="0" fontId="9" fillId="4" borderId="21" xfId="5" applyFont="1" applyFill="1" applyBorder="1" applyAlignment="1">
      <alignment horizontal="left" vertical="center"/>
    </xf>
    <xf numFmtId="2" fontId="6" fillId="5" borderId="13" xfId="0" applyNumberFormat="1" applyFont="1" applyFill="1" applyBorder="1" applyAlignment="1">
      <alignment horizontal="right"/>
    </xf>
    <xf numFmtId="2" fontId="6" fillId="2" borderId="13" xfId="0" applyNumberFormat="1" applyFont="1" applyFill="1" applyBorder="1" applyAlignment="1">
      <alignment horizontal="right"/>
    </xf>
    <xf numFmtId="0" fontId="6" fillId="4" borderId="1" xfId="5" applyFont="1" applyFill="1" applyBorder="1" applyAlignment="1">
      <alignment horizontal="left" vertical="top" wrapText="1"/>
    </xf>
    <xf numFmtId="0" fontId="6" fillId="6" borderId="13" xfId="0" applyFont="1" applyFill="1" applyBorder="1" applyAlignment="1">
      <alignment horizontal="left" indent="2"/>
    </xf>
    <xf numFmtId="2" fontId="6" fillId="6" borderId="13" xfId="0" applyNumberFormat="1" applyFont="1" applyFill="1" applyBorder="1" applyAlignment="1">
      <alignment horizontal="right"/>
    </xf>
    <xf numFmtId="0" fontId="6" fillId="4" borderId="1" xfId="5" applyFont="1" applyFill="1" applyBorder="1" applyAlignment="1">
      <alignment horizontal="left" vertical="top"/>
    </xf>
    <xf numFmtId="0" fontId="6" fillId="4" borderId="13" xfId="5" applyFont="1" applyFill="1" applyBorder="1" applyAlignment="1">
      <alignment horizontal="left" vertical="top" wrapText="1"/>
    </xf>
    <xf numFmtId="0" fontId="6" fillId="4" borderId="6" xfId="5" applyFont="1" applyFill="1" applyBorder="1" applyAlignment="1">
      <alignment horizontal="left" vertical="top" wrapText="1"/>
    </xf>
    <xf numFmtId="0" fontId="14" fillId="3" borderId="0" xfId="7" applyFont="1" applyFill="1" applyBorder="1"/>
    <xf numFmtId="0" fontId="6" fillId="3" borderId="0" xfId="7" applyFont="1" applyFill="1" applyBorder="1"/>
    <xf numFmtId="0" fontId="6" fillId="3" borderId="0" xfId="3" applyFont="1" applyFill="1" applyAlignment="1">
      <alignment wrapText="1"/>
    </xf>
    <xf numFmtId="0" fontId="9" fillId="4" borderId="6" xfId="5" applyFont="1" applyFill="1" applyBorder="1" applyAlignment="1">
      <alignment horizontal="left" vertical="center" wrapText="1"/>
    </xf>
    <xf numFmtId="0" fontId="6" fillId="4" borderId="7" xfId="5" applyFont="1" applyFill="1" applyBorder="1" applyAlignment="1">
      <alignment horizontal="center" vertical="center" wrapText="1"/>
    </xf>
    <xf numFmtId="0" fontId="6" fillId="4" borderId="5" xfId="5" applyFont="1" applyFill="1" applyBorder="1" applyAlignment="1">
      <alignment horizontal="center" vertical="center" wrapText="1"/>
    </xf>
    <xf numFmtId="0" fontId="6" fillId="3" borderId="13" xfId="5" applyFont="1" applyFill="1" applyBorder="1" applyAlignment="1">
      <alignment horizontal="left" vertical="center" wrapText="1"/>
    </xf>
    <xf numFmtId="0" fontId="4" fillId="3" borderId="0" xfId="2" applyFill="1" applyAlignment="1">
      <alignment vertical="center"/>
    </xf>
    <xf numFmtId="0" fontId="16" fillId="3" borderId="0" xfId="3" applyFont="1" applyFill="1"/>
    <xf numFmtId="0" fontId="9" fillId="4" borderId="4" xfId="8" applyFont="1" applyFill="1" applyBorder="1" applyAlignment="1">
      <alignment horizontal="left" vertical="center" wrapText="1"/>
    </xf>
    <xf numFmtId="0" fontId="9" fillId="4" borderId="4" xfId="8" applyFont="1" applyFill="1" applyBorder="1" applyAlignment="1">
      <alignment horizontal="center" vertical="center" wrapText="1"/>
    </xf>
    <xf numFmtId="0" fontId="9" fillId="4" borderId="5" xfId="8" applyFont="1" applyFill="1" applyBorder="1" applyAlignment="1">
      <alignment horizontal="center" vertical="center"/>
    </xf>
    <xf numFmtId="0" fontId="9" fillId="4" borderId="8" xfId="8" applyFont="1" applyFill="1" applyBorder="1" applyAlignment="1">
      <alignment horizontal="left" vertical="center"/>
    </xf>
    <xf numFmtId="0" fontId="9" fillId="4" borderId="8" xfId="8" applyFont="1" applyFill="1" applyBorder="1" applyAlignment="1">
      <alignment horizontal="center" vertical="center" wrapText="1"/>
    </xf>
    <xf numFmtId="0" fontId="9" fillId="4" borderId="9" xfId="8" applyFont="1" applyFill="1" applyBorder="1" applyAlignment="1">
      <alignment horizontal="center" vertical="center"/>
    </xf>
    <xf numFmtId="0" fontId="9" fillId="4" borderId="15" xfId="8" applyFont="1" applyFill="1" applyBorder="1" applyAlignment="1">
      <alignment horizontal="left" vertical="center"/>
    </xf>
    <xf numFmtId="0" fontId="9" fillId="4" borderId="23" xfId="8" applyFont="1" applyFill="1" applyBorder="1" applyAlignment="1">
      <alignment horizontal="center" vertical="center" wrapText="1"/>
    </xf>
    <xf numFmtId="0" fontId="9" fillId="4" borderId="15" xfId="8" applyFont="1" applyFill="1" applyBorder="1" applyAlignment="1">
      <alignment horizontal="center" vertical="center" wrapText="1"/>
    </xf>
    <xf numFmtId="0" fontId="9" fillId="4" borderId="16" xfId="8" applyFont="1" applyFill="1" applyBorder="1" applyAlignment="1">
      <alignment horizontal="center" vertical="center"/>
    </xf>
    <xf numFmtId="0" fontId="9" fillId="4" borderId="24" xfId="8" applyFont="1" applyFill="1" applyBorder="1" applyAlignment="1">
      <alignment horizontal="left" vertical="center" wrapText="1"/>
    </xf>
    <xf numFmtId="0" fontId="6" fillId="4" borderId="13" xfId="8" applyFill="1" applyBorder="1" applyAlignment="1">
      <alignment horizontal="left" vertical="center" wrapText="1"/>
    </xf>
    <xf numFmtId="0" fontId="6" fillId="4" borderId="14" xfId="8" applyFill="1" applyBorder="1" applyAlignment="1">
      <alignment horizontal="left" vertical="center" wrapText="1"/>
    </xf>
    <xf numFmtId="0" fontId="9" fillId="4" borderId="8" xfId="8" applyFont="1" applyFill="1" applyBorder="1" applyAlignment="1">
      <alignment horizontal="left" vertical="center" wrapText="1"/>
    </xf>
    <xf numFmtId="0" fontId="6" fillId="4" borderId="13" xfId="8" applyFill="1" applyBorder="1" applyAlignment="1">
      <alignment horizontal="left" vertical="center"/>
    </xf>
    <xf numFmtId="0" fontId="13" fillId="3" borderId="0" xfId="3" applyFont="1" applyFill="1" applyAlignment="1">
      <alignment horizontal="left" wrapText="1"/>
    </xf>
    <xf numFmtId="4" fontId="9" fillId="3" borderId="0" xfId="9" applyFont="1" applyFill="1" applyAlignment="1">
      <alignment vertical="center"/>
    </xf>
    <xf numFmtId="4" fontId="9" fillId="4" borderId="13" xfId="9" applyFont="1" applyFill="1" applyBorder="1" applyAlignment="1">
      <alignment horizontal="center" vertical="center" wrapText="1"/>
    </xf>
    <xf numFmtId="4" fontId="9" fillId="4" borderId="13" xfId="9" applyFont="1" applyFill="1" applyBorder="1" applyAlignment="1">
      <alignment horizontal="center" vertical="center"/>
    </xf>
    <xf numFmtId="4" fontId="6" fillId="4" borderId="13" xfId="9" applyFill="1" applyBorder="1" applyAlignment="1">
      <alignment horizontal="left" vertical="center" wrapText="1"/>
    </xf>
    <xf numFmtId="4" fontId="6" fillId="4" borderId="13" xfId="9" applyFill="1" applyBorder="1" applyAlignment="1">
      <alignment vertical="center" wrapText="1"/>
    </xf>
    <xf numFmtId="0" fontId="6" fillId="7" borderId="12" xfId="8" applyFill="1" applyBorder="1" applyAlignment="1" applyProtection="1">
      <alignment horizontal="right" vertical="center" wrapText="1"/>
      <protection locked="0"/>
    </xf>
    <xf numFmtId="0" fontId="13" fillId="3" borderId="0" xfId="3" applyFont="1" applyFill="1" applyAlignment="1">
      <alignment horizontal="left" vertical="center"/>
    </xf>
    <xf numFmtId="0" fontId="13" fillId="3" borderId="0" xfId="3" applyFont="1" applyFill="1" applyAlignment="1">
      <alignment horizontal="left" vertical="center" wrapText="1"/>
    </xf>
    <xf numFmtId="0" fontId="6" fillId="4" borderId="25" xfId="3" applyFont="1" applyFill="1" applyBorder="1"/>
    <xf numFmtId="0" fontId="6" fillId="4" borderId="0" xfId="3" applyFont="1" applyFill="1"/>
    <xf numFmtId="0" fontId="6" fillId="4" borderId="9" xfId="3" applyFont="1" applyFill="1" applyBorder="1"/>
    <xf numFmtId="0" fontId="6" fillId="4" borderId="10" xfId="3" applyFont="1" applyFill="1" applyBorder="1"/>
    <xf numFmtId="0" fontId="6" fillId="4" borderId="11" xfId="3" applyFont="1" applyFill="1" applyBorder="1"/>
    <xf numFmtId="0" fontId="6" fillId="4" borderId="12" xfId="3" applyFont="1" applyFill="1" applyBorder="1"/>
    <xf numFmtId="0" fontId="6" fillId="3" borderId="13" xfId="3" applyFont="1" applyFill="1" applyBorder="1" applyAlignment="1">
      <alignment horizontal="left" vertical="center"/>
    </xf>
    <xf numFmtId="166" fontId="0" fillId="0" borderId="0" xfId="0" applyNumberFormat="1"/>
    <xf numFmtId="9" fontId="0" fillId="0" borderId="0" xfId="1" applyFont="1"/>
    <xf numFmtId="0" fontId="0" fillId="0" borderId="11" xfId="0" applyBorder="1"/>
    <xf numFmtId="0" fontId="0" fillId="0" borderId="0" xfId="0" applyFill="1"/>
    <xf numFmtId="0" fontId="0" fillId="0" borderId="0" xfId="0" applyAlignment="1">
      <alignment horizontal="center"/>
    </xf>
    <xf numFmtId="0" fontId="1" fillId="9" borderId="0" xfId="0" applyFont="1" applyFill="1" applyAlignment="1">
      <alignment vertical="top" wrapText="1"/>
    </xf>
    <xf numFmtId="1" fontId="6" fillId="3" borderId="0" xfId="5" applyNumberFormat="1" applyFont="1" applyFill="1" applyAlignment="1">
      <alignment horizontal="left" vertical="center" wrapText="1"/>
    </xf>
    <xf numFmtId="2" fontId="6" fillId="6" borderId="13" xfId="0" applyNumberFormat="1" applyFont="1" applyFill="1" applyBorder="1" applyAlignment="1">
      <alignment horizontal="right"/>
    </xf>
    <xf numFmtId="0" fontId="6" fillId="3" borderId="13" xfId="5" applyFont="1" applyFill="1" applyBorder="1" applyAlignment="1">
      <alignment horizontal="left" vertical="center" wrapText="1"/>
    </xf>
    <xf numFmtId="0" fontId="9" fillId="4" borderId="5" xfId="5" applyFont="1" applyFill="1" applyBorder="1" applyAlignment="1">
      <alignment horizontal="center" vertical="center" wrapText="1"/>
    </xf>
    <xf numFmtId="0" fontId="9" fillId="4" borderId="10" xfId="5" applyFont="1" applyFill="1" applyBorder="1" applyAlignment="1">
      <alignment horizontal="center" vertical="center" wrapText="1"/>
    </xf>
    <xf numFmtId="0" fontId="9" fillId="4" borderId="4" xfId="5" applyFont="1" applyFill="1" applyBorder="1" applyAlignment="1">
      <alignment horizontal="center" vertical="center" wrapText="1"/>
    </xf>
    <xf numFmtId="0" fontId="9" fillId="4" borderId="14" xfId="5" applyFont="1" applyFill="1" applyBorder="1" applyAlignment="1">
      <alignment horizontal="center" vertical="center" wrapText="1"/>
    </xf>
    <xf numFmtId="0" fontId="9" fillId="4" borderId="8" xfId="5" applyFont="1" applyFill="1" applyBorder="1" applyAlignment="1">
      <alignment horizontal="left" vertical="center" wrapText="1"/>
    </xf>
    <xf numFmtId="0" fontId="9" fillId="4" borderId="15" xfId="5" applyFont="1" applyFill="1" applyBorder="1" applyAlignment="1">
      <alignment horizontal="center" vertical="center" wrapText="1"/>
    </xf>
    <xf numFmtId="0" fontId="0" fillId="10" borderId="0" xfId="0" applyFill="1"/>
    <xf numFmtId="0" fontId="22" fillId="0" borderId="0" xfId="0" applyFont="1" applyAlignment="1">
      <alignment horizontal="left"/>
    </xf>
    <xf numFmtId="0" fontId="22" fillId="0" borderId="0" xfId="0" applyFont="1" applyAlignment="1">
      <alignment horizontal="center"/>
    </xf>
    <xf numFmtId="0" fontId="0" fillId="0" borderId="0" xfId="0" applyFont="1"/>
    <xf numFmtId="0" fontId="6" fillId="3" borderId="0" xfId="11" applyFont="1" applyFill="1" applyBorder="1"/>
    <xf numFmtId="0" fontId="14" fillId="3" borderId="0" xfId="5" applyFont="1" applyFill="1" applyAlignment="1">
      <alignment horizontal="center" vertical="center" wrapText="1"/>
    </xf>
    <xf numFmtId="0" fontId="9" fillId="4" borderId="7" xfId="5" applyFont="1" applyFill="1" applyBorder="1" applyAlignment="1">
      <alignment horizontal="left" vertical="center" wrapText="1"/>
    </xf>
    <xf numFmtId="167" fontId="0" fillId="0" borderId="0" xfId="0" applyNumberFormat="1"/>
    <xf numFmtId="168" fontId="0" fillId="0" borderId="0" xfId="0" applyNumberFormat="1"/>
    <xf numFmtId="4" fontId="4" fillId="3" borderId="0" xfId="12" applyFont="1" applyFill="1"/>
    <xf numFmtId="4" fontId="4" fillId="3" borderId="0" xfId="13" applyFont="1" applyFill="1" applyAlignment="1">
      <alignment vertical="center"/>
    </xf>
    <xf numFmtId="4" fontId="16" fillId="3" borderId="0" xfId="12" applyFont="1" applyFill="1"/>
    <xf numFmtId="4" fontId="6" fillId="3" borderId="0" xfId="12" applyFont="1" applyFill="1"/>
    <xf numFmtId="4" fontId="6" fillId="3" borderId="0" xfId="12" applyFont="1" applyFill="1" applyAlignment="1">
      <alignment vertical="top"/>
    </xf>
    <xf numFmtId="4" fontId="9" fillId="4" borderId="27" xfId="14" applyFont="1" applyBorder="1" applyAlignment="1">
      <alignment horizontal="right" vertical="top" wrapText="1"/>
    </xf>
    <xf numFmtId="4" fontId="6" fillId="4" borderId="2" xfId="12" applyFont="1" applyFill="1" applyBorder="1" applyAlignment="1">
      <alignment horizontal="center" vertical="center" textRotation="90" wrapText="1"/>
    </xf>
    <xf numFmtId="4" fontId="6" fillId="4" borderId="13" xfId="12" applyFont="1" applyFill="1" applyBorder="1" applyAlignment="1">
      <alignment horizontal="center" vertical="center" textRotation="90" wrapText="1"/>
    </xf>
    <xf numFmtId="4" fontId="9" fillId="4" borderId="13" xfId="12" applyFont="1" applyFill="1" applyBorder="1" applyAlignment="1">
      <alignment horizontal="center" vertical="center" textRotation="90" wrapText="1"/>
    </xf>
    <xf numFmtId="4" fontId="9" fillId="4" borderId="20" xfId="14" applyFont="1" applyBorder="1" applyAlignment="1">
      <alignment horizontal="left"/>
    </xf>
    <xf numFmtId="4" fontId="6" fillId="4" borderId="14" xfId="12" applyFont="1" applyFill="1" applyBorder="1" applyAlignment="1">
      <alignment horizontal="left" wrapText="1" indent="2"/>
    </xf>
    <xf numFmtId="2" fontId="26" fillId="6" borderId="13" xfId="0" applyNumberFormat="1" applyFont="1" applyFill="1" applyBorder="1" applyAlignment="1">
      <alignment horizontal="right"/>
    </xf>
    <xf numFmtId="2" fontId="26" fillId="2" borderId="13" xfId="0" applyNumberFormat="1" applyFont="1" applyFill="1" applyBorder="1" applyAlignment="1">
      <alignment horizontal="right"/>
    </xf>
    <xf numFmtId="4" fontId="6" fillId="4" borderId="13" xfId="12" applyFont="1" applyFill="1" applyBorder="1" applyAlignment="1">
      <alignment horizontal="left" wrapText="1" indent="2"/>
    </xf>
    <xf numFmtId="4" fontId="9" fillId="4" borderId="13" xfId="12" applyFont="1" applyFill="1" applyBorder="1" applyAlignment="1">
      <alignment horizontal="left" wrapText="1" indent="2"/>
    </xf>
    <xf numFmtId="0" fontId="4" fillId="3" borderId="0" xfId="2" applyFill="1" applyAlignment="1">
      <alignment vertical="top"/>
    </xf>
    <xf numFmtId="0" fontId="4" fillId="3" borderId="0" xfId="2" applyFill="1" applyAlignment="1">
      <alignment vertical="center" wrapText="1"/>
    </xf>
    <xf numFmtId="0" fontId="6" fillId="3" borderId="0" xfId="4" applyFont="1" applyFill="1" applyAlignment="1">
      <alignment horizontal="right" vertical="top"/>
    </xf>
    <xf numFmtId="0" fontId="4" fillId="3" borderId="0" xfId="2" applyFill="1" applyBorder="1" applyAlignment="1"/>
    <xf numFmtId="0" fontId="9" fillId="4" borderId="16" xfId="6" applyFont="1" applyFill="1" applyBorder="1" applyAlignment="1">
      <alignment horizontal="center" vertical="center"/>
    </xf>
    <xf numFmtId="0" fontId="9" fillId="4" borderId="14" xfId="15" applyFont="1" applyBorder="1" applyAlignment="1">
      <alignment horizontal="left" vertical="center"/>
    </xf>
    <xf numFmtId="0" fontId="9" fillId="4" borderId="13" xfId="15" applyFont="1" applyBorder="1" applyAlignment="1">
      <alignment horizontal="left" vertical="center" indent="1"/>
    </xf>
    <xf numFmtId="0" fontId="6" fillId="4" borderId="13" xfId="15" applyFont="1" applyBorder="1" applyAlignment="1">
      <alignment horizontal="left" vertical="center" indent="2"/>
    </xf>
    <xf numFmtId="0" fontId="26" fillId="2" borderId="13" xfId="0" applyFont="1" applyFill="1" applyBorder="1" applyAlignment="1">
      <alignment horizontal="left" indent="6"/>
    </xf>
    <xf numFmtId="0" fontId="9" fillId="4" borderId="13" xfId="5" applyFont="1" applyFill="1" applyBorder="1" applyAlignment="1">
      <alignment horizontal="left" vertical="top" wrapText="1" indent="1"/>
    </xf>
    <xf numFmtId="0" fontId="14" fillId="3" borderId="0" xfId="5" applyFont="1" applyFill="1" applyAlignment="1">
      <alignment horizontal="left" vertical="top" wrapText="1"/>
    </xf>
    <xf numFmtId="0" fontId="6" fillId="3" borderId="0" xfId="16" applyFont="1" applyFill="1" applyBorder="1">
      <alignment horizontal="right" vertical="center"/>
    </xf>
    <xf numFmtId="0" fontId="6" fillId="3" borderId="0" xfId="5" applyFont="1" applyFill="1" applyAlignment="1">
      <alignment horizontal="left"/>
    </xf>
    <xf numFmtId="0" fontId="9" fillId="4" borderId="6" xfId="5" applyFont="1" applyFill="1" applyBorder="1" applyAlignment="1">
      <alignment horizontal="left" vertical="top"/>
    </xf>
    <xf numFmtId="0" fontId="6" fillId="4" borderId="7" xfId="5" applyFont="1" applyFill="1" applyBorder="1" applyAlignment="1">
      <alignment horizontal="left" vertical="top"/>
    </xf>
    <xf numFmtId="0" fontId="6" fillId="4" borderId="5" xfId="5" applyFont="1" applyFill="1" applyBorder="1" applyAlignment="1">
      <alignment horizontal="left" vertical="top"/>
    </xf>
    <xf numFmtId="0" fontId="6" fillId="3" borderId="0" xfId="3" applyFont="1" applyFill="1" applyAlignment="1">
      <alignment horizontal="left" vertical="center" wrapText="1"/>
    </xf>
    <xf numFmtId="0" fontId="6" fillId="3" borderId="0" xfId="0" applyFont="1" applyFill="1"/>
    <xf numFmtId="0" fontId="6" fillId="0" borderId="0" xfId="0" applyFont="1"/>
    <xf numFmtId="0" fontId="9" fillId="3" borderId="0" xfId="2" applyFont="1" applyFill="1" applyAlignment="1">
      <alignment horizontal="left"/>
    </xf>
    <xf numFmtId="0" fontId="9" fillId="4" borderId="13" xfId="5" applyFont="1" applyFill="1" applyBorder="1" applyAlignment="1">
      <alignment horizontal="left" vertical="center"/>
    </xf>
    <xf numFmtId="0" fontId="9" fillId="4" borderId="6" xfId="5" applyFont="1" applyFill="1" applyBorder="1" applyAlignment="1">
      <alignment horizontal="center" wrapText="1"/>
    </xf>
    <xf numFmtId="0" fontId="9" fillId="4" borderId="4" xfId="5" applyFont="1" applyFill="1" applyBorder="1" applyAlignment="1">
      <alignment horizontal="center" wrapText="1"/>
    </xf>
    <xf numFmtId="0" fontId="9" fillId="4" borderId="13" xfId="5" applyFont="1" applyFill="1" applyBorder="1" applyAlignment="1">
      <alignment horizontal="center" wrapText="1"/>
    </xf>
    <xf numFmtId="0" fontId="9" fillId="4" borderId="15" xfId="3" applyFont="1" applyFill="1" applyBorder="1" applyAlignment="1">
      <alignment horizontal="center"/>
    </xf>
    <xf numFmtId="0" fontId="9" fillId="4" borderId="30" xfId="5" applyFont="1" applyFill="1" applyBorder="1" applyAlignment="1">
      <alignment horizontal="center" wrapText="1"/>
    </xf>
    <xf numFmtId="0" fontId="9" fillId="4" borderId="23" xfId="5" applyFont="1" applyFill="1" applyBorder="1" applyAlignment="1">
      <alignment horizontal="center" wrapText="1"/>
    </xf>
    <xf numFmtId="2" fontId="26" fillId="5" borderId="13" xfId="0" applyNumberFormat="1" applyFont="1" applyFill="1" applyBorder="1" applyAlignment="1">
      <alignment horizontal="right"/>
    </xf>
    <xf numFmtId="0" fontId="9" fillId="4" borderId="13" xfId="15" applyFont="1" applyBorder="1" applyAlignment="1">
      <alignment horizontal="left" vertical="center" indent="2"/>
    </xf>
    <xf numFmtId="0" fontId="29" fillId="4" borderId="13" xfId="15" applyFont="1" applyBorder="1" applyAlignment="1">
      <alignment horizontal="left" vertical="center" indent="3"/>
    </xf>
    <xf numFmtId="0" fontId="6" fillId="4" borderId="13" xfId="15" applyFont="1" applyBorder="1" applyAlignment="1">
      <alignment horizontal="left" vertical="center" indent="3"/>
    </xf>
    <xf numFmtId="0" fontId="9" fillId="4" borderId="13" xfId="15" applyFont="1" applyBorder="1" applyAlignment="1">
      <alignment horizontal="left" vertical="center" indent="3"/>
    </xf>
    <xf numFmtId="0" fontId="29" fillId="4" borderId="13" xfId="15" applyFont="1" applyBorder="1" applyAlignment="1">
      <alignment horizontal="left" vertical="center" indent="4"/>
    </xf>
    <xf numFmtId="0" fontId="26" fillId="6" borderId="13" xfId="0" applyFont="1" applyFill="1" applyBorder="1" applyAlignment="1">
      <alignment horizontal="left" indent="10"/>
    </xf>
    <xf numFmtId="0" fontId="6" fillId="4" borderId="13" xfId="15" applyFont="1" applyBorder="1" applyAlignment="1">
      <alignment horizontal="left" vertical="center" indent="4"/>
    </xf>
    <xf numFmtId="0" fontId="26" fillId="2" borderId="13" xfId="0" applyFont="1" applyFill="1" applyBorder="1" applyAlignment="1">
      <alignment horizontal="left" indent="10"/>
    </xf>
    <xf numFmtId="0" fontId="13" fillId="3" borderId="0" xfId="5" applyFont="1" applyFill="1" applyAlignment="1">
      <alignment horizontal="left" vertical="top"/>
    </xf>
    <xf numFmtId="0" fontId="6" fillId="4" borderId="7" xfId="5" applyFont="1" applyFill="1" applyBorder="1" applyAlignment="1">
      <alignment horizontal="left" vertical="center" wrapText="1"/>
    </xf>
    <xf numFmtId="0" fontId="6" fillId="4" borderId="5" xfId="5" applyFont="1" applyFill="1" applyBorder="1" applyAlignment="1">
      <alignment horizontal="left" vertical="center" wrapText="1"/>
    </xf>
    <xf numFmtId="0" fontId="6" fillId="3" borderId="13" xfId="7" applyFont="1" applyFill="1" applyBorder="1" applyAlignment="1">
      <alignment horizontal="left" vertical="center"/>
    </xf>
    <xf numFmtId="3" fontId="0" fillId="0" borderId="0" xfId="0" applyNumberFormat="1" applyFont="1"/>
    <xf numFmtId="0" fontId="31" fillId="0" borderId="0" xfId="0" applyFont="1"/>
    <xf numFmtId="1" fontId="31" fillId="0" borderId="0" xfId="0" applyNumberFormat="1" applyFont="1"/>
    <xf numFmtId="0" fontId="0" fillId="12" borderId="11" xfId="0" applyFill="1" applyBorder="1"/>
    <xf numFmtId="0" fontId="0" fillId="0" borderId="0" xfId="0" applyAlignment="1">
      <alignment vertical="center"/>
    </xf>
    <xf numFmtId="3" fontId="0" fillId="0" borderId="11" xfId="0" applyNumberFormat="1" applyBorder="1"/>
    <xf numFmtId="2" fontId="6" fillId="0" borderId="0" xfId="3" applyNumberFormat="1" applyFont="1"/>
    <xf numFmtId="0" fontId="0" fillId="0" borderId="0" xfId="0" applyBorder="1"/>
    <xf numFmtId="164" fontId="0" fillId="0" borderId="0" xfId="0" applyNumberFormat="1" applyFill="1"/>
    <xf numFmtId="0" fontId="5" fillId="0" borderId="0" xfId="0" applyFont="1" applyAlignment="1">
      <alignment horizontal="left"/>
    </xf>
    <xf numFmtId="2" fontId="5" fillId="0" borderId="0" xfId="0" applyNumberFormat="1" applyFont="1" applyAlignment="1">
      <alignment horizontal="center"/>
    </xf>
    <xf numFmtId="0" fontId="5" fillId="0" borderId="0" xfId="0" applyFont="1" applyAlignment="1">
      <alignment horizontal="center"/>
    </xf>
    <xf numFmtId="0" fontId="0" fillId="13" borderId="0" xfId="0" applyFill="1"/>
    <xf numFmtId="9" fontId="0" fillId="13" borderId="0" xfId="1" applyFont="1" applyFill="1"/>
    <xf numFmtId="1" fontId="0" fillId="13" borderId="0" xfId="0" applyNumberFormat="1" applyFill="1"/>
    <xf numFmtId="9" fontId="0" fillId="13" borderId="0" xfId="0" applyNumberFormat="1" applyFill="1"/>
    <xf numFmtId="1" fontId="1" fillId="13" borderId="0" xfId="10" applyNumberFormat="1" applyFont="1" applyFill="1"/>
    <xf numFmtId="0" fontId="0" fillId="0" borderId="0" xfId="0" applyAlignment="1">
      <alignment wrapText="1"/>
    </xf>
    <xf numFmtId="0" fontId="0" fillId="0" borderId="0" xfId="0" applyAlignment="1"/>
    <xf numFmtId="0" fontId="0" fillId="9" borderId="0" xfId="0" applyFill="1" applyAlignment="1">
      <alignment wrapText="1"/>
    </xf>
    <xf numFmtId="165" fontId="0" fillId="0" borderId="0" xfId="0" applyNumberFormat="1" applyAlignment="1">
      <alignment wrapText="1"/>
    </xf>
    <xf numFmtId="0" fontId="0" fillId="0" borderId="0" xfId="0" applyFill="1" applyAlignment="1">
      <alignment wrapText="1"/>
    </xf>
    <xf numFmtId="0" fontId="0" fillId="0" borderId="0" xfId="0" applyAlignment="1">
      <alignment horizontal="right" wrapText="1" indent="5"/>
    </xf>
    <xf numFmtId="1" fontId="0" fillId="0" borderId="0" xfId="0" applyNumberFormat="1" applyAlignment="1">
      <alignment horizontal="right" wrapText="1" indent="5"/>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10" borderId="0" xfId="0" applyFill="1" applyAlignment="1">
      <alignment wrapText="1"/>
    </xf>
    <xf numFmtId="0" fontId="0" fillId="0" borderId="7" xfId="0" applyBorder="1" applyAlignment="1">
      <alignment wrapText="1"/>
    </xf>
    <xf numFmtId="0" fontId="0" fillId="0" borderId="0" xfId="0" applyFont="1" applyAlignment="1">
      <alignment wrapText="1"/>
    </xf>
    <xf numFmtId="0" fontId="0" fillId="0" borderId="7" xfId="0" applyBorder="1" applyAlignment="1">
      <alignment vertical="center" wrapText="1"/>
    </xf>
    <xf numFmtId="0" fontId="0" fillId="0" borderId="0" xfId="0" applyFont="1" applyAlignment="1">
      <alignment vertical="center" wrapText="1"/>
    </xf>
    <xf numFmtId="1" fontId="0" fillId="0" borderId="0" xfId="0" applyNumberFormat="1" applyAlignment="1">
      <alignment horizontal="right" indent="3"/>
    </xf>
    <xf numFmtId="165" fontId="0" fillId="0" borderId="0" xfId="0" applyNumberFormat="1" applyAlignment="1">
      <alignment horizontal="right" indent="3"/>
    </xf>
    <xf numFmtId="1" fontId="0" fillId="0" borderId="0" xfId="0" applyNumberFormat="1" applyFill="1" applyAlignment="1">
      <alignment horizontal="right" indent="3"/>
    </xf>
    <xf numFmtId="3" fontId="0" fillId="0" borderId="0" xfId="0" applyNumberFormat="1" applyFill="1" applyAlignment="1">
      <alignment horizontal="right" indent="3"/>
    </xf>
    <xf numFmtId="2" fontId="0" fillId="10" borderId="0" xfId="0" applyNumberFormat="1" applyFill="1" applyAlignment="1">
      <alignment horizontal="right" indent="3"/>
    </xf>
    <xf numFmtId="165" fontId="0" fillId="10" borderId="0" xfId="0" applyNumberFormat="1" applyFill="1" applyAlignment="1">
      <alignment horizontal="right" indent="3"/>
    </xf>
    <xf numFmtId="1" fontId="0" fillId="10" borderId="0" xfId="0" applyNumberFormat="1" applyFill="1" applyAlignment="1">
      <alignment horizontal="right" indent="3"/>
    </xf>
    <xf numFmtId="0" fontId="0" fillId="0" borderId="0" xfId="0" applyAlignment="1">
      <alignment horizontal="right" indent="3"/>
    </xf>
    <xf numFmtId="1" fontId="0" fillId="0" borderId="0" xfId="0" applyNumberFormat="1" applyAlignment="1">
      <alignment horizontal="center"/>
    </xf>
    <xf numFmtId="2" fontId="0" fillId="10" borderId="25" xfId="0" applyNumberFormat="1" applyFill="1" applyBorder="1" applyAlignment="1">
      <alignment horizontal="right" indent="3"/>
    </xf>
    <xf numFmtId="165" fontId="0" fillId="10" borderId="0" xfId="0" applyNumberFormat="1" applyFill="1" applyBorder="1" applyAlignment="1">
      <alignment horizontal="right" indent="3"/>
    </xf>
    <xf numFmtId="164" fontId="0" fillId="10" borderId="25" xfId="0" applyNumberFormat="1" applyFill="1" applyBorder="1" applyAlignment="1">
      <alignment horizontal="right" indent="3"/>
    </xf>
    <xf numFmtId="2" fontId="0" fillId="10" borderId="0" xfId="0" applyNumberFormat="1" applyFill="1" applyBorder="1" applyAlignment="1">
      <alignment horizontal="right" indent="3"/>
    </xf>
    <xf numFmtId="1" fontId="19" fillId="10" borderId="0" xfId="10" applyNumberFormat="1" applyFill="1" applyBorder="1" applyAlignment="1">
      <alignment horizontal="right" indent="3"/>
    </xf>
    <xf numFmtId="1" fontId="19" fillId="0" borderId="0" xfId="10" applyNumberFormat="1" applyFill="1" applyAlignment="1">
      <alignment horizontal="right" indent="3"/>
    </xf>
    <xf numFmtId="2" fontId="0" fillId="0" borderId="0" xfId="0" applyNumberFormat="1" applyAlignment="1">
      <alignment horizontal="right" indent="3"/>
    </xf>
    <xf numFmtId="3" fontId="0" fillId="0" borderId="0" xfId="0" applyNumberFormat="1" applyAlignment="1">
      <alignment horizontal="right" indent="3"/>
    </xf>
    <xf numFmtId="0" fontId="0" fillId="0" borderId="0" xfId="0" applyAlignment="1">
      <alignment horizontal="left"/>
    </xf>
    <xf numFmtId="1" fontId="0" fillId="0" borderId="0" xfId="0" applyNumberFormat="1" applyBorder="1" applyAlignment="1">
      <alignment horizontal="right" indent="3"/>
    </xf>
    <xf numFmtId="0" fontId="0" fillId="0" borderId="0" xfId="0" applyBorder="1" applyAlignment="1">
      <alignment horizontal="right" indent="3"/>
    </xf>
    <xf numFmtId="0" fontId="0" fillId="0" borderId="0" xfId="0" applyAlignment="1">
      <alignment horizontal="right" wrapText="1" indent="3"/>
    </xf>
    <xf numFmtId="3" fontId="0" fillId="0" borderId="0" xfId="0" applyNumberFormat="1" applyAlignment="1">
      <alignment horizontal="right" wrapText="1" indent="3"/>
    </xf>
    <xf numFmtId="1" fontId="0" fillId="0" borderId="0" xfId="0" applyNumberFormat="1" applyAlignment="1">
      <alignment horizontal="right" wrapText="1" indent="3"/>
    </xf>
    <xf numFmtId="165" fontId="0" fillId="0" borderId="0" xfId="0" applyNumberFormat="1" applyAlignment="1">
      <alignment horizontal="right" wrapText="1" indent="3"/>
    </xf>
    <xf numFmtId="49" fontId="3" fillId="0" borderId="11" xfId="0" applyNumberFormat="1" applyFont="1" applyBorder="1" applyAlignment="1">
      <alignment horizontal="center" vertical="center" wrapText="1"/>
    </xf>
    <xf numFmtId="49" fontId="3" fillId="10" borderId="11" xfId="0" applyNumberFormat="1" applyFont="1" applyFill="1" applyBorder="1" applyAlignment="1">
      <alignment wrapText="1"/>
    </xf>
    <xf numFmtId="49" fontId="3" fillId="10" borderId="0" xfId="0" applyNumberFormat="1" applyFont="1" applyFill="1" applyBorder="1" applyAlignment="1">
      <alignment wrapText="1"/>
    </xf>
    <xf numFmtId="165" fontId="0" fillId="0" borderId="0" xfId="0" applyNumberFormat="1" applyFont="1" applyAlignment="1"/>
    <xf numFmtId="1" fontId="35" fillId="0" borderId="0" xfId="0" applyNumberFormat="1" applyFont="1" applyAlignment="1">
      <alignment horizontal="right" indent="3"/>
    </xf>
    <xf numFmtId="0" fontId="35" fillId="0" borderId="0" xfId="0" applyFont="1" applyAlignment="1">
      <alignment horizontal="right" indent="3"/>
    </xf>
    <xf numFmtId="0" fontId="0" fillId="0" borderId="0" xfId="0" applyFill="1" applyAlignment="1">
      <alignment horizontal="right" indent="3"/>
    </xf>
    <xf numFmtId="2" fontId="35" fillId="0" borderId="0" xfId="0" applyNumberFormat="1" applyFont="1" applyAlignment="1">
      <alignment horizontal="right" indent="3"/>
    </xf>
    <xf numFmtId="165" fontId="35" fillId="0" borderId="0" xfId="0" applyNumberFormat="1" applyFont="1" applyAlignment="1">
      <alignment horizontal="right" indent="3"/>
    </xf>
    <xf numFmtId="0" fontId="0" fillId="0" borderId="7" xfId="0" applyBorder="1" applyAlignment="1">
      <alignment horizontal="right" indent="3"/>
    </xf>
    <xf numFmtId="1" fontId="3" fillId="0" borderId="0" xfId="0" applyNumberFormat="1" applyFont="1" applyBorder="1" applyAlignment="1">
      <alignment horizontal="right" indent="3"/>
    </xf>
    <xf numFmtId="0" fontId="0" fillId="0" borderId="0" xfId="0" applyFont="1" applyAlignment="1">
      <alignment horizontal="right" indent="3"/>
    </xf>
    <xf numFmtId="1" fontId="0" fillId="0" borderId="0" xfId="0" applyNumberFormat="1" applyFont="1" applyAlignment="1">
      <alignment horizontal="right" indent="3"/>
    </xf>
    <xf numFmtId="0" fontId="0" fillId="0" borderId="25" xfId="0" applyBorder="1" applyAlignment="1">
      <alignment wrapText="1"/>
    </xf>
    <xf numFmtId="0" fontId="0" fillId="0" borderId="0" xfId="0" applyBorder="1" applyAlignment="1">
      <alignment wrapText="1"/>
    </xf>
    <xf numFmtId="0" fontId="22" fillId="0" borderId="0" xfId="0" applyFont="1" applyAlignment="1">
      <alignment horizontal="left" wrapText="1"/>
    </xf>
    <xf numFmtId="0" fontId="22" fillId="0" borderId="0" xfId="0" applyFont="1" applyAlignment="1">
      <alignment horizontal="center" wrapText="1"/>
    </xf>
    <xf numFmtId="165" fontId="0" fillId="0" borderId="0" xfId="0" applyNumberFormat="1" applyFill="1" applyAlignment="1">
      <alignment wrapText="1"/>
    </xf>
    <xf numFmtId="165" fontId="0" fillId="10" borderId="0" xfId="0" applyNumberFormat="1" applyFill="1" applyAlignment="1">
      <alignment wrapText="1"/>
    </xf>
    <xf numFmtId="1" fontId="0" fillId="10" borderId="0" xfId="0" applyNumberFormat="1" applyFill="1" applyAlignment="1">
      <alignment wrapText="1"/>
    </xf>
    <xf numFmtId="2" fontId="0" fillId="10" borderId="0" xfId="0" applyNumberFormat="1" applyFill="1" applyAlignment="1">
      <alignment wrapText="1"/>
    </xf>
    <xf numFmtId="0" fontId="3" fillId="0" borderId="0" xfId="0" applyFont="1" applyAlignment="1">
      <alignment wrapText="1"/>
    </xf>
    <xf numFmtId="0" fontId="0" fillId="0" borderId="0" xfId="0" applyBorder="1" applyAlignment="1">
      <alignment horizontal="center"/>
    </xf>
    <xf numFmtId="1" fontId="0" fillId="0" borderId="0" xfId="0" applyNumberFormat="1" applyBorder="1"/>
    <xf numFmtId="0" fontId="0" fillId="0" borderId="0" xfId="0" applyFill="1" applyBorder="1"/>
    <xf numFmtId="3" fontId="0" fillId="0" borderId="0" xfId="0" applyNumberFormat="1" applyBorder="1"/>
    <xf numFmtId="1" fontId="0" fillId="0" borderId="0" xfId="0" applyNumberFormat="1" applyFill="1" applyBorder="1"/>
    <xf numFmtId="164" fontId="0" fillId="0" borderId="0" xfId="0" applyNumberFormat="1" applyBorder="1"/>
    <xf numFmtId="0" fontId="3" fillId="0" borderId="0" xfId="0" applyFont="1" applyAlignment="1">
      <alignment vertical="center"/>
    </xf>
    <xf numFmtId="0" fontId="0" fillId="14" borderId="0" xfId="0" applyFill="1"/>
    <xf numFmtId="49" fontId="3" fillId="11" borderId="11" xfId="0" applyNumberFormat="1" applyFont="1" applyFill="1" applyBorder="1" applyAlignment="1">
      <alignment wrapText="1"/>
    </xf>
    <xf numFmtId="1" fontId="3" fillId="14" borderId="7" xfId="0" applyNumberFormat="1" applyFont="1" applyFill="1" applyBorder="1" applyAlignment="1">
      <alignment horizontal="right" indent="3"/>
    </xf>
    <xf numFmtId="0" fontId="0" fillId="14" borderId="0" xfId="0" applyFill="1" applyAlignment="1"/>
    <xf numFmtId="164" fontId="0" fillId="14" borderId="0" xfId="0" applyNumberFormat="1" applyFill="1" applyAlignment="1"/>
    <xf numFmtId="1" fontId="31" fillId="15" borderId="0" xfId="0" applyNumberFormat="1" applyFont="1" applyFill="1"/>
    <xf numFmtId="1" fontId="0" fillId="0" borderId="0" xfId="0" applyNumberFormat="1" applyAlignment="1"/>
    <xf numFmtId="2" fontId="0" fillId="14" borderId="0" xfId="0" applyNumberFormat="1" applyFill="1" applyAlignment="1"/>
    <xf numFmtId="0" fontId="0" fillId="11" borderId="0" xfId="0" applyFill="1"/>
    <xf numFmtId="0" fontId="0" fillId="0" borderId="0" xfId="0" applyAlignment="1">
      <alignment wrapText="1"/>
    </xf>
    <xf numFmtId="0" fontId="0" fillId="0" borderId="0" xfId="0" applyAlignment="1"/>
    <xf numFmtId="0" fontId="13" fillId="3" borderId="0" xfId="3" applyFont="1" applyFill="1" applyAlignment="1">
      <alignment horizontal="left" vertical="top" wrapText="1"/>
    </xf>
    <xf numFmtId="0" fontId="6" fillId="3" borderId="0" xfId="3" applyFont="1" applyFill="1" applyAlignment="1">
      <alignment horizontal="left" vertical="top" wrapText="1"/>
    </xf>
    <xf numFmtId="4" fontId="4" fillId="3" borderId="0" xfId="12" applyFont="1" applyFill="1" applyAlignment="1">
      <alignment horizontal="left"/>
    </xf>
    <xf numFmtId="4" fontId="9" fillId="4" borderId="18" xfId="12" applyFont="1" applyFill="1" applyBorder="1" applyAlignment="1">
      <alignment horizontal="center" vertical="center" wrapText="1"/>
    </xf>
    <xf numFmtId="4" fontId="9" fillId="4" borderId="19" xfId="12" applyFont="1" applyFill="1" applyBorder="1" applyAlignment="1">
      <alignment horizontal="center" vertical="center" wrapText="1"/>
    </xf>
    <xf numFmtId="0" fontId="13" fillId="11" borderId="0" xfId="3" applyFont="1" applyFill="1" applyAlignment="1">
      <alignment horizontal="left" vertical="top" wrapText="1"/>
    </xf>
    <xf numFmtId="0" fontId="6" fillId="11" borderId="0" xfId="3" applyFont="1" applyFill="1" applyAlignment="1">
      <alignment horizontal="left" vertical="top" wrapText="1"/>
    </xf>
    <xf numFmtId="0" fontId="6" fillId="4" borderId="10" xfId="5" applyFont="1" applyFill="1" applyBorder="1" applyAlignment="1">
      <alignment horizontal="left" vertical="center" wrapText="1"/>
    </xf>
    <xf numFmtId="0" fontId="6" fillId="4" borderId="11" xfId="5" applyFont="1" applyFill="1" applyBorder="1" applyAlignment="1">
      <alignment horizontal="left" vertical="center" wrapText="1"/>
    </xf>
    <xf numFmtId="0" fontId="6" fillId="3" borderId="11" xfId="3" applyFont="1" applyFill="1" applyBorder="1" applyAlignment="1">
      <alignment horizontal="left" vertical="center" wrapText="1"/>
    </xf>
    <xf numFmtId="0" fontId="6" fillId="3" borderId="12" xfId="3" applyFont="1" applyFill="1" applyBorder="1" applyAlignment="1">
      <alignment horizontal="left" vertical="center" wrapText="1"/>
    </xf>
    <xf numFmtId="2" fontId="6" fillId="6" borderId="13" xfId="0" applyNumberFormat="1" applyFont="1" applyFill="1" applyBorder="1" applyAlignment="1">
      <alignment horizontal="right"/>
    </xf>
    <xf numFmtId="0" fontId="6" fillId="3" borderId="13" xfId="5" applyFont="1" applyFill="1" applyBorder="1" applyAlignment="1">
      <alignment horizontal="left" vertical="center" wrapText="1"/>
    </xf>
    <xf numFmtId="0" fontId="13" fillId="3" borderId="0" xfId="5" applyFont="1" applyFill="1" applyAlignment="1">
      <alignment horizontal="left" vertical="top"/>
    </xf>
    <xf numFmtId="0" fontId="13" fillId="3" borderId="0" xfId="3" applyFont="1" applyFill="1" applyAlignment="1">
      <alignment horizontal="left" vertical="top"/>
    </xf>
    <xf numFmtId="0" fontId="13" fillId="3" borderId="0" xfId="5" applyFont="1" applyFill="1" applyAlignment="1">
      <alignment horizontal="left" vertical="top" wrapText="1"/>
    </xf>
    <xf numFmtId="0" fontId="9" fillId="4" borderId="6" xfId="5" applyFont="1" applyFill="1" applyBorder="1" applyAlignment="1">
      <alignment horizontal="center" vertical="center" wrapText="1"/>
    </xf>
    <xf numFmtId="0" fontId="9" fillId="4" borderId="7" xfId="5" applyFont="1" applyFill="1" applyBorder="1" applyAlignment="1">
      <alignment horizontal="center" vertical="center" wrapText="1"/>
    </xf>
    <xf numFmtId="0" fontId="9" fillId="4" borderId="5" xfId="5" applyFont="1" applyFill="1" applyBorder="1" applyAlignment="1">
      <alignment horizontal="center" vertical="center" wrapText="1"/>
    </xf>
    <xf numFmtId="0" fontId="9" fillId="4" borderId="10" xfId="5" applyFont="1" applyFill="1" applyBorder="1" applyAlignment="1">
      <alignment horizontal="center" vertical="center" wrapText="1"/>
    </xf>
    <xf numFmtId="0" fontId="9" fillId="4" borderId="11" xfId="5" applyFont="1" applyFill="1" applyBorder="1" applyAlignment="1">
      <alignment horizontal="center" vertical="center" wrapText="1"/>
    </xf>
    <xf numFmtId="0" fontId="9" fillId="4" borderId="12" xfId="5" applyFont="1" applyFill="1" applyBorder="1" applyAlignment="1">
      <alignment horizontal="center" vertical="center" wrapText="1"/>
    </xf>
    <xf numFmtId="0" fontId="9" fillId="4" borderId="4" xfId="5" applyFont="1" applyFill="1" applyBorder="1" applyAlignment="1">
      <alignment horizontal="center" vertical="center" wrapText="1"/>
    </xf>
    <xf numFmtId="0" fontId="9" fillId="4" borderId="8" xfId="5" applyFont="1" applyFill="1" applyBorder="1" applyAlignment="1">
      <alignment horizontal="center" vertical="center" wrapText="1"/>
    </xf>
    <xf numFmtId="0" fontId="9" fillId="4" borderId="14" xfId="5" applyFont="1" applyFill="1" applyBorder="1" applyAlignment="1">
      <alignment horizontal="center" vertical="center" wrapText="1"/>
    </xf>
    <xf numFmtId="0" fontId="9" fillId="4" borderId="17" xfId="5" applyFont="1" applyFill="1" applyBorder="1" applyAlignment="1">
      <alignment horizontal="center" vertical="center" wrapText="1"/>
    </xf>
    <xf numFmtId="0" fontId="9" fillId="4" borderId="18" xfId="5" applyFont="1" applyFill="1" applyBorder="1" applyAlignment="1">
      <alignment horizontal="center" vertical="center" wrapText="1"/>
    </xf>
    <xf numFmtId="0" fontId="9" fillId="4" borderId="19" xfId="5" applyFont="1" applyFill="1" applyBorder="1" applyAlignment="1">
      <alignment horizontal="center" vertical="center" wrapText="1"/>
    </xf>
    <xf numFmtId="0" fontId="9" fillId="4" borderId="1" xfId="5" applyFont="1" applyFill="1" applyBorder="1" applyAlignment="1">
      <alignment horizontal="left" vertical="center" wrapText="1"/>
    </xf>
    <xf numFmtId="0" fontId="9" fillId="4" borderId="2" xfId="5" applyFont="1" applyFill="1" applyBorder="1" applyAlignment="1">
      <alignment horizontal="left" vertical="center" wrapText="1"/>
    </xf>
    <xf numFmtId="0" fontId="9" fillId="4" borderId="1" xfId="5" applyFont="1" applyFill="1" applyBorder="1" applyAlignment="1">
      <alignment horizontal="center" vertical="center" wrapText="1"/>
    </xf>
    <xf numFmtId="0" fontId="9" fillId="4" borderId="3" xfId="5" applyFont="1" applyFill="1" applyBorder="1" applyAlignment="1">
      <alignment horizontal="center" vertical="center" wrapText="1"/>
    </xf>
    <xf numFmtId="0" fontId="9" fillId="4" borderId="2" xfId="5" applyFont="1" applyFill="1" applyBorder="1" applyAlignment="1">
      <alignment horizontal="center" vertical="center" wrapText="1"/>
    </xf>
    <xf numFmtId="0" fontId="9" fillId="4" borderId="4" xfId="5" applyFont="1" applyFill="1" applyBorder="1" applyAlignment="1">
      <alignment horizontal="left" vertical="center" wrapText="1"/>
    </xf>
    <xf numFmtId="0" fontId="9" fillId="4" borderId="8" xfId="5" applyFont="1" applyFill="1" applyBorder="1" applyAlignment="1">
      <alignment horizontal="left" vertical="center" wrapText="1"/>
    </xf>
    <xf numFmtId="0" fontId="9" fillId="4" borderId="15" xfId="5" applyFont="1" applyFill="1" applyBorder="1" applyAlignment="1">
      <alignment horizontal="left" vertical="center" wrapText="1"/>
    </xf>
    <xf numFmtId="0" fontId="9" fillId="4" borderId="15" xfId="5" applyFont="1" applyFill="1" applyBorder="1" applyAlignment="1">
      <alignment horizontal="center" vertical="center" wrapText="1"/>
    </xf>
    <xf numFmtId="0" fontId="9" fillId="4" borderId="9" xfId="5" applyFont="1" applyFill="1" applyBorder="1" applyAlignment="1">
      <alignment horizontal="center" vertical="center" wrapText="1"/>
    </xf>
    <xf numFmtId="0" fontId="9" fillId="4" borderId="16" xfId="5" applyFont="1" applyFill="1" applyBorder="1" applyAlignment="1">
      <alignment horizontal="center" vertical="center" wrapText="1"/>
    </xf>
    <xf numFmtId="2" fontId="26" fillId="6" borderId="13" xfId="0" applyNumberFormat="1" applyFont="1" applyFill="1" applyBorder="1" applyAlignment="1">
      <alignment horizontal="right"/>
    </xf>
    <xf numFmtId="0" fontId="6" fillId="3" borderId="13" xfId="7" applyFont="1" applyFill="1" applyBorder="1" applyAlignment="1">
      <alignment horizontal="left" vertical="center"/>
    </xf>
    <xf numFmtId="0" fontId="9" fillId="4" borderId="3" xfId="5" applyFont="1" applyFill="1" applyBorder="1" applyAlignment="1">
      <alignment horizontal="left" vertical="center" wrapText="1"/>
    </xf>
    <xf numFmtId="0" fontId="6" fillId="4" borderId="1" xfId="17" applyFont="1" applyBorder="1" applyAlignment="1">
      <alignment horizontal="left" vertical="center" wrapText="1"/>
    </xf>
    <xf numFmtId="0" fontId="6" fillId="3" borderId="3" xfId="3" applyFont="1" applyFill="1" applyBorder="1" applyAlignment="1">
      <alignment horizontal="left" vertical="center" wrapText="1"/>
    </xf>
    <xf numFmtId="0" fontId="6" fillId="3" borderId="2" xfId="3" applyFont="1" applyFill="1" applyBorder="1" applyAlignment="1">
      <alignment horizontal="left" vertical="center" wrapText="1"/>
    </xf>
    <xf numFmtId="0" fontId="4" fillId="3" borderId="0" xfId="2" applyFill="1" applyAlignment="1">
      <alignment horizontal="left"/>
    </xf>
    <xf numFmtId="0" fontId="9" fillId="4" borderId="0" xfId="5" applyFont="1" applyFill="1" applyAlignment="1">
      <alignment horizontal="center" vertical="center" wrapText="1"/>
    </xf>
    <xf numFmtId="0" fontId="9" fillId="4" borderId="30" xfId="5" applyFont="1" applyFill="1" applyBorder="1" applyAlignment="1">
      <alignment horizontal="center" vertical="center" wrapText="1"/>
    </xf>
    <xf numFmtId="0" fontId="9" fillId="4" borderId="17" xfId="5" applyFont="1" applyFill="1" applyBorder="1" applyAlignment="1">
      <alignment horizontal="center" wrapText="1"/>
    </xf>
    <xf numFmtId="0" fontId="9" fillId="4" borderId="18" xfId="5" applyFont="1" applyFill="1" applyBorder="1" applyAlignment="1">
      <alignment horizontal="center" wrapText="1"/>
    </xf>
    <xf numFmtId="0" fontId="9" fillId="4" borderId="19" xfId="5" applyFont="1" applyFill="1" applyBorder="1" applyAlignment="1">
      <alignment horizontal="center" wrapText="1"/>
    </xf>
    <xf numFmtId="0" fontId="0" fillId="0" borderId="13" xfId="0" applyBorder="1" applyAlignment="1">
      <alignment horizontal="left" vertical="center"/>
    </xf>
    <xf numFmtId="0" fontId="6" fillId="4" borderId="3" xfId="17" applyFont="1" applyBorder="1" applyAlignment="1">
      <alignment horizontal="left" vertical="center" wrapText="1"/>
    </xf>
    <xf numFmtId="0" fontId="6" fillId="4" borderId="2" xfId="17" applyFont="1" applyBorder="1" applyAlignment="1">
      <alignment horizontal="left" vertical="center" wrapText="1"/>
    </xf>
    <xf numFmtId="0" fontId="6" fillId="3" borderId="13" xfId="16" applyFont="1" applyFill="1" applyBorder="1" applyAlignment="1">
      <alignment horizontal="left" vertical="center"/>
    </xf>
    <xf numFmtId="0" fontId="4" fillId="3" borderId="0" xfId="2" applyFill="1" applyAlignment="1">
      <alignment vertical="top" wrapText="1"/>
    </xf>
    <xf numFmtId="0" fontId="16" fillId="3" borderId="0" xfId="3" applyFont="1" applyFill="1" applyAlignment="1">
      <alignment vertical="top" wrapText="1"/>
    </xf>
    <xf numFmtId="0" fontId="9" fillId="4" borderId="6" xfId="5" applyFont="1" applyFill="1" applyBorder="1" applyAlignment="1">
      <alignment horizontal="left" vertical="center" wrapText="1"/>
    </xf>
    <xf numFmtId="0" fontId="9" fillId="4" borderId="23" xfId="5" applyFont="1" applyFill="1" applyBorder="1" applyAlignment="1">
      <alignment horizontal="left" vertical="center" wrapText="1"/>
    </xf>
    <xf numFmtId="0" fontId="6" fillId="4" borderId="1" xfId="5" applyFont="1" applyFill="1" applyBorder="1" applyAlignment="1">
      <alignment horizontal="left" vertical="center" wrapText="1"/>
    </xf>
    <xf numFmtId="49" fontId="13" fillId="3" borderId="0" xfId="3" applyNumberFormat="1" applyFont="1" applyFill="1" applyAlignment="1">
      <alignment horizontal="left" vertical="top"/>
    </xf>
    <xf numFmtId="0" fontId="13" fillId="3" borderId="0" xfId="5" applyFont="1" applyFill="1" applyAlignment="1">
      <alignment horizontal="left" vertical="center"/>
    </xf>
    <xf numFmtId="0" fontId="13" fillId="3" borderId="0" xfId="5" applyFont="1" applyFill="1" applyAlignment="1">
      <alignment horizontal="left" wrapText="1"/>
    </xf>
    <xf numFmtId="49" fontId="13" fillId="3" borderId="0" xfId="5" applyNumberFormat="1" applyFont="1" applyFill="1" applyAlignment="1">
      <alignment horizontal="left"/>
    </xf>
    <xf numFmtId="0" fontId="13" fillId="3" borderId="0" xfId="5" applyFont="1" applyFill="1" applyAlignment="1">
      <alignment horizontal="left"/>
    </xf>
    <xf numFmtId="0" fontId="6" fillId="3" borderId="13" xfId="3" applyFont="1" applyFill="1" applyBorder="1" applyAlignment="1">
      <alignment horizontal="left" vertical="center"/>
    </xf>
    <xf numFmtId="0" fontId="13" fillId="3" borderId="0" xfId="3" applyFont="1" applyFill="1" applyAlignment="1">
      <alignment horizontal="left" wrapText="1"/>
    </xf>
    <xf numFmtId="0" fontId="9" fillId="4" borderId="6" xfId="3" applyFont="1" applyFill="1" applyBorder="1"/>
    <xf numFmtId="0" fontId="6" fillId="3" borderId="7" xfId="3" applyFont="1" applyFill="1" applyBorder="1"/>
    <xf numFmtId="0" fontId="6" fillId="3" borderId="5" xfId="3" applyFont="1" applyFill="1" applyBorder="1"/>
    <xf numFmtId="0" fontId="6" fillId="4" borderId="25" xfId="3" applyFont="1" applyFill="1" applyBorder="1" applyAlignment="1">
      <alignment horizontal="left" wrapText="1"/>
    </xf>
    <xf numFmtId="0" fontId="6" fillId="3" borderId="0" xfId="3" applyFont="1" applyFill="1" applyAlignment="1">
      <alignment horizontal="left" wrapText="1"/>
    </xf>
    <xf numFmtId="0" fontId="6" fillId="3" borderId="9" xfId="3" applyFont="1" applyFill="1" applyBorder="1" applyAlignment="1">
      <alignment horizontal="left" wrapText="1"/>
    </xf>
    <xf numFmtId="0" fontId="6" fillId="4" borderId="25" xfId="3" applyFont="1" applyFill="1" applyBorder="1" applyAlignment="1">
      <alignment horizontal="left"/>
    </xf>
    <xf numFmtId="0" fontId="6" fillId="3" borderId="0" xfId="3" applyFont="1" applyFill="1" applyAlignment="1">
      <alignment horizontal="left"/>
    </xf>
    <xf numFmtId="0" fontId="6" fillId="3" borderId="9" xfId="3" applyFont="1" applyFill="1" applyBorder="1" applyAlignment="1">
      <alignment horizontal="left"/>
    </xf>
    <xf numFmtId="0" fontId="13" fillId="3" borderId="0" xfId="3" applyFont="1" applyFill="1" applyAlignment="1">
      <alignment vertical="top" wrapText="1"/>
    </xf>
    <xf numFmtId="0" fontId="6" fillId="3" borderId="0" xfId="3" applyFont="1" applyFill="1" applyAlignment="1">
      <alignment vertical="top" wrapText="1"/>
    </xf>
    <xf numFmtId="0" fontId="4" fillId="3" borderId="0" xfId="2" applyFill="1" applyAlignment="1">
      <alignment horizontal="left" vertical="center"/>
    </xf>
    <xf numFmtId="0" fontId="9" fillId="4" borderId="1" xfId="8" applyFont="1" applyFill="1" applyBorder="1" applyAlignment="1">
      <alignment horizontal="center" vertical="center" wrapText="1"/>
    </xf>
    <xf numFmtId="0" fontId="9" fillId="4" borderId="2" xfId="8" applyFont="1" applyFill="1" applyBorder="1" applyAlignment="1">
      <alignment horizontal="center" vertical="center" wrapText="1"/>
    </xf>
    <xf numFmtId="0" fontId="13" fillId="3" borderId="0" xfId="8" applyFont="1" applyFill="1" applyAlignment="1">
      <alignment vertical="center" wrapText="1"/>
    </xf>
  </cellXfs>
  <cellStyles count="18">
    <cellStyle name="AggOrange_LR_Left" xfId="17" xr:uid="{00000000-0005-0000-0000-000000000000}"/>
    <cellStyle name="AggOrange_LRBorder" xfId="16" xr:uid="{00000000-0005-0000-0000-000001000000}"/>
    <cellStyle name="AggOrange_LRTBorder_Bold" xfId="15" xr:uid="{00000000-0005-0000-0000-000002000000}"/>
    <cellStyle name="Bad" xfId="10" builtinId="27"/>
    <cellStyle name="Constants" xfId="4" xr:uid="{00000000-0005-0000-0000-000003000000}"/>
    <cellStyle name="Empty_L_border" xfId="11" xr:uid="{00000000-0005-0000-0000-000004000000}"/>
    <cellStyle name="Empty_TBorder" xfId="7" xr:uid="{00000000-0005-0000-0000-000005000000}"/>
    <cellStyle name="Headline" xfId="2" xr:uid="{00000000-0005-0000-0000-000006000000}"/>
    <cellStyle name="KP_thin_border_orange" xfId="14" xr:uid="{00000000-0005-0000-0000-000008000000}"/>
    <cellStyle name="Normal" xfId="0" builtinId="0"/>
    <cellStyle name="Normal 2" xfId="3" xr:uid="{00000000-0005-0000-0000-00000A000000}"/>
    <cellStyle name="Normal_CRFReport-templateKP" xfId="12" xr:uid="{00000000-0005-0000-0000-00000B000000}"/>
    <cellStyle name="Normál_Munka1" xfId="13" xr:uid="{00000000-0005-0000-0000-00000C000000}"/>
    <cellStyle name="Normal_Table 3(II).1 Canada" xfId="6" xr:uid="{00000000-0005-0000-0000-00000D000000}"/>
    <cellStyle name="Percent" xfId="1" builtinId="5"/>
    <cellStyle name="Обычный_CRF2002 (1)" xfId="8" xr:uid="{00000000-0005-0000-0000-00000F000000}"/>
    <cellStyle name="Обычный_CRF2002 (1) 2" xfId="9" xr:uid="{00000000-0005-0000-0000-000010000000}"/>
    <cellStyle name="Обычный_LULUCF module - v 1.0" xfId="5"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Hlevy_\MMM\CAP-suunnitelman%20arviointi\laskenta_sekala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onnos_lietelannansijoitt"/>
      <sheetName val="luomu"/>
      <sheetName val="sekalaista"/>
      <sheetName val="kosteikot"/>
      <sheetName val="säätösalaojitus min"/>
      <sheetName val="ylim"/>
    </sheetNames>
    <sheetDataSet>
      <sheetData sheetId="0">
        <row r="26">
          <cell r="B26">
            <v>1.5714285714285714</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5" x14ac:dyDescent="0.25"/>
  <cols>
    <col min="1" max="1" width="52.42578125" customWidth="1"/>
  </cols>
  <sheetData>
    <row r="1" spans="1:1" ht="26.45" customHeight="1" x14ac:dyDescent="0.25">
      <c r="A1" s="232" t="s">
        <v>633</v>
      </c>
    </row>
    <row r="2" spans="1:1" ht="75" x14ac:dyDescent="0.25">
      <c r="A2" s="225" t="s">
        <v>634</v>
      </c>
    </row>
    <row r="3" spans="1:1" x14ac:dyDescent="0.25">
      <c r="A3" s="4" t="s">
        <v>635</v>
      </c>
    </row>
  </sheetData>
  <sheetProtection algorithmName="SHA-512" hashValue="Cd0OjKu5+ZHY1tmcXWI1Ht0MlTf4ZDIahJI/vsA0901Eu8oSxkdOUNEKVOfCFuYx2ZEg6lrqhsj4Nj5Hi0whLA==" saltValue="RqH3JXUtnB/0PzhQzB0Wj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0"/>
  <sheetViews>
    <sheetView workbookViewId="0">
      <selection activeCell="H21" sqref="H21"/>
    </sheetView>
  </sheetViews>
  <sheetFormatPr defaultColWidth="8.85546875" defaultRowHeight="15" x14ac:dyDescent="0.25"/>
  <cols>
    <col min="1" max="1" width="6.42578125" customWidth="1"/>
    <col min="2" max="2" width="6.42578125" bestFit="1" customWidth="1"/>
    <col min="3" max="3" width="37.42578125" customWidth="1"/>
    <col min="4" max="4" width="13.140625" customWidth="1"/>
    <col min="5" max="5" width="8.140625" customWidth="1"/>
    <col min="6" max="7" width="9.42578125" bestFit="1" customWidth="1"/>
    <col min="8" max="8" width="6.85546875" customWidth="1"/>
    <col min="9" max="10" width="7" customWidth="1"/>
    <col min="11" max="11" width="7.140625" customWidth="1"/>
    <col min="12" max="12" width="16.42578125" customWidth="1"/>
    <col min="13" max="13" width="17.42578125" bestFit="1" customWidth="1"/>
    <col min="14" max="14" width="27.85546875" bestFit="1" customWidth="1"/>
  </cols>
  <sheetData>
    <row r="1" spans="1:19" x14ac:dyDescent="0.25">
      <c r="A1" s="71" t="s">
        <v>605</v>
      </c>
      <c r="B1" s="71" t="s">
        <v>192</v>
      </c>
      <c r="C1" s="71" t="s">
        <v>193</v>
      </c>
      <c r="D1" s="71" t="s">
        <v>194</v>
      </c>
      <c r="E1" s="71" t="s">
        <v>195</v>
      </c>
      <c r="F1" s="71" t="s">
        <v>196</v>
      </c>
      <c r="G1" s="71" t="s">
        <v>197</v>
      </c>
      <c r="H1" s="71" t="s">
        <v>198</v>
      </c>
      <c r="I1" s="71" t="s">
        <v>199</v>
      </c>
      <c r="J1" s="71" t="s">
        <v>612</v>
      </c>
      <c r="K1" s="71" t="s">
        <v>613</v>
      </c>
      <c r="L1" s="71" t="s">
        <v>200</v>
      </c>
      <c r="M1" s="71" t="s">
        <v>201</v>
      </c>
      <c r="N1" s="71" t="s">
        <v>623</v>
      </c>
      <c r="O1" s="71" t="s">
        <v>202</v>
      </c>
      <c r="P1" s="71" t="s">
        <v>203</v>
      </c>
      <c r="Q1" s="71" t="s">
        <v>204</v>
      </c>
    </row>
    <row r="2" spans="1:19" x14ac:dyDescent="0.25">
      <c r="A2" t="s">
        <v>604</v>
      </c>
      <c r="B2" t="s">
        <v>160</v>
      </c>
      <c r="C2" t="s">
        <v>205</v>
      </c>
      <c r="D2" t="s">
        <v>206</v>
      </c>
      <c r="E2" t="s">
        <v>207</v>
      </c>
      <c r="F2" t="s">
        <v>208</v>
      </c>
      <c r="G2">
        <v>7.9</v>
      </c>
      <c r="H2">
        <v>6.5</v>
      </c>
      <c r="I2">
        <v>9.4</v>
      </c>
      <c r="J2" s="70">
        <f t="shared" ref="J2:J11" si="0">(H2-$G2)/$G2</f>
        <v>-0.17721518987341775</v>
      </c>
      <c r="K2" s="70">
        <f t="shared" ref="K2:K11" si="1">(I2-$G2)/$G2</f>
        <v>0.18987341772151897</v>
      </c>
      <c r="L2" t="s">
        <v>209</v>
      </c>
      <c r="M2">
        <v>1</v>
      </c>
      <c r="N2" s="7">
        <f>G2*(44/12)</f>
        <v>28.966666666666669</v>
      </c>
      <c r="O2" t="s">
        <v>210</v>
      </c>
      <c r="P2" t="s">
        <v>211</v>
      </c>
      <c r="Q2" t="s">
        <v>212</v>
      </c>
    </row>
    <row r="3" spans="1:19" x14ac:dyDescent="0.25">
      <c r="A3" t="s">
        <v>604</v>
      </c>
      <c r="B3" t="s">
        <v>160</v>
      </c>
      <c r="C3" t="s">
        <v>213</v>
      </c>
      <c r="D3" t="s">
        <v>214</v>
      </c>
      <c r="E3" t="s">
        <v>207</v>
      </c>
      <c r="F3" t="s">
        <v>208</v>
      </c>
      <c r="G3">
        <v>5.7</v>
      </c>
      <c r="H3">
        <v>2.9</v>
      </c>
      <c r="I3">
        <v>8.6</v>
      </c>
      <c r="J3" s="70">
        <f t="shared" si="0"/>
        <v>-0.49122807017543862</v>
      </c>
      <c r="K3" s="70">
        <f t="shared" si="1"/>
        <v>0.50877192982456132</v>
      </c>
      <c r="L3" t="s">
        <v>209</v>
      </c>
      <c r="M3">
        <v>1</v>
      </c>
      <c r="N3" s="1">
        <f>G3*(44/12)</f>
        <v>20.9</v>
      </c>
      <c r="O3" t="s">
        <v>210</v>
      </c>
      <c r="P3" t="s">
        <v>211</v>
      </c>
      <c r="Q3" t="s">
        <v>215</v>
      </c>
    </row>
    <row r="4" spans="1:19" x14ac:dyDescent="0.25">
      <c r="A4" t="s">
        <v>604</v>
      </c>
      <c r="B4" t="s">
        <v>160</v>
      </c>
      <c r="C4" t="s">
        <v>216</v>
      </c>
      <c r="D4" t="s">
        <v>217</v>
      </c>
      <c r="E4" t="s">
        <v>218</v>
      </c>
      <c r="F4" t="s">
        <v>208</v>
      </c>
      <c r="G4">
        <v>3.6</v>
      </c>
      <c r="H4">
        <v>1.8</v>
      </c>
      <c r="I4">
        <v>5.4</v>
      </c>
      <c r="J4" s="70">
        <f t="shared" si="0"/>
        <v>-0.5</v>
      </c>
      <c r="K4" s="70">
        <f t="shared" si="1"/>
        <v>0.50000000000000011</v>
      </c>
      <c r="L4" t="s">
        <v>209</v>
      </c>
      <c r="M4">
        <v>1</v>
      </c>
      <c r="N4" s="1">
        <f>G4*(44/12)</f>
        <v>13.2</v>
      </c>
      <c r="O4" t="s">
        <v>210</v>
      </c>
      <c r="P4" t="s">
        <v>211</v>
      </c>
      <c r="Q4" t="s">
        <v>219</v>
      </c>
    </row>
    <row r="5" spans="1:19" x14ac:dyDescent="0.25">
      <c r="A5" t="s">
        <v>604</v>
      </c>
      <c r="B5" t="s">
        <v>160</v>
      </c>
      <c r="C5" t="s">
        <v>220</v>
      </c>
      <c r="D5" t="s">
        <v>221</v>
      </c>
      <c r="E5" t="s">
        <v>207</v>
      </c>
      <c r="F5" t="s">
        <v>208</v>
      </c>
      <c r="G5">
        <v>3.5</v>
      </c>
      <c r="J5" s="70"/>
      <c r="K5" s="70"/>
      <c r="L5" t="s">
        <v>209</v>
      </c>
      <c r="M5">
        <v>1</v>
      </c>
      <c r="N5" s="1">
        <f>G5*(44/12)</f>
        <v>12.833333333333332</v>
      </c>
      <c r="O5" t="s">
        <v>210</v>
      </c>
      <c r="P5" t="s">
        <v>222</v>
      </c>
      <c r="Q5" t="s">
        <v>223</v>
      </c>
    </row>
    <row r="6" spans="1:19" x14ac:dyDescent="0.25">
      <c r="A6" t="s">
        <v>604</v>
      </c>
      <c r="B6" t="s">
        <v>162</v>
      </c>
      <c r="C6" t="s">
        <v>205</v>
      </c>
      <c r="D6" t="s">
        <v>206</v>
      </c>
      <c r="E6" t="s">
        <v>207</v>
      </c>
      <c r="F6" t="s">
        <v>224</v>
      </c>
      <c r="G6">
        <v>13</v>
      </c>
      <c r="H6">
        <v>8.1999999999999993</v>
      </c>
      <c r="I6">
        <v>18</v>
      </c>
      <c r="J6" s="70">
        <f t="shared" si="0"/>
        <v>-0.36923076923076931</v>
      </c>
      <c r="K6" s="70">
        <f t="shared" si="1"/>
        <v>0.38461538461538464</v>
      </c>
      <c r="L6" t="s">
        <v>225</v>
      </c>
      <c r="M6">
        <v>298</v>
      </c>
      <c r="N6" s="7">
        <f>(G6*(44/28)*M6)/1000</f>
        <v>6.0877142857142852</v>
      </c>
      <c r="O6" t="s">
        <v>210</v>
      </c>
      <c r="P6" t="s">
        <v>211</v>
      </c>
      <c r="Q6" t="s">
        <v>226</v>
      </c>
    </row>
    <row r="7" spans="1:19" x14ac:dyDescent="0.25">
      <c r="A7" t="s">
        <v>604</v>
      </c>
      <c r="B7" t="s">
        <v>162</v>
      </c>
      <c r="C7" t="s">
        <v>213</v>
      </c>
      <c r="D7" t="s">
        <v>214</v>
      </c>
      <c r="E7" t="s">
        <v>207</v>
      </c>
      <c r="F7" t="s">
        <v>224</v>
      </c>
      <c r="G7">
        <v>9.5</v>
      </c>
      <c r="H7">
        <v>4.5999999999999996</v>
      </c>
      <c r="I7">
        <v>14</v>
      </c>
      <c r="J7" s="70">
        <f t="shared" si="0"/>
        <v>-0.51578947368421058</v>
      </c>
      <c r="K7" s="70">
        <f t="shared" si="1"/>
        <v>0.47368421052631576</v>
      </c>
      <c r="L7" t="s">
        <v>225</v>
      </c>
      <c r="M7">
        <v>298</v>
      </c>
      <c r="N7" s="1">
        <f>(G7*(44/28)*M7)/1000</f>
        <v>4.4487142857142858</v>
      </c>
      <c r="O7" t="s">
        <v>210</v>
      </c>
      <c r="P7" t="s">
        <v>211</v>
      </c>
      <c r="Q7" t="s">
        <v>227</v>
      </c>
    </row>
    <row r="8" spans="1:19" x14ac:dyDescent="0.25">
      <c r="A8" t="s">
        <v>604</v>
      </c>
      <c r="B8" t="s">
        <v>162</v>
      </c>
      <c r="C8" t="s">
        <v>216</v>
      </c>
      <c r="D8" t="s">
        <v>217</v>
      </c>
      <c r="E8" t="s">
        <v>218</v>
      </c>
      <c r="F8" t="s">
        <v>224</v>
      </c>
      <c r="G8">
        <v>1.6</v>
      </c>
      <c r="H8">
        <v>0.56000000000000005</v>
      </c>
      <c r="I8">
        <v>2.7</v>
      </c>
      <c r="J8" s="70">
        <f t="shared" si="0"/>
        <v>-0.65</v>
      </c>
      <c r="K8" s="70">
        <f t="shared" si="1"/>
        <v>0.6875</v>
      </c>
      <c r="L8" t="s">
        <v>225</v>
      </c>
      <c r="M8">
        <v>298</v>
      </c>
      <c r="N8" s="1">
        <f>(G8*(44/28)*M8)/1000</f>
        <v>0.74925714285714284</v>
      </c>
      <c r="O8" t="s">
        <v>210</v>
      </c>
      <c r="P8" t="s">
        <v>211</v>
      </c>
      <c r="Q8" t="s">
        <v>228</v>
      </c>
    </row>
    <row r="9" spans="1:19" ht="14.45" customHeight="1" x14ac:dyDescent="0.25">
      <c r="A9" t="s">
        <v>604</v>
      </c>
      <c r="B9" t="s">
        <v>162</v>
      </c>
      <c r="C9" t="s">
        <v>220</v>
      </c>
      <c r="D9" t="s">
        <v>221</v>
      </c>
      <c r="E9" t="s">
        <v>207</v>
      </c>
      <c r="F9" t="s">
        <v>224</v>
      </c>
      <c r="G9">
        <v>5.7</v>
      </c>
      <c r="J9" s="70"/>
      <c r="K9" s="70"/>
      <c r="L9" t="s">
        <v>225</v>
      </c>
      <c r="M9">
        <v>298</v>
      </c>
      <c r="N9" s="1">
        <f>(G9*(44/28)*M9)/1000</f>
        <v>2.6692285714285715</v>
      </c>
      <c r="O9" t="s">
        <v>210</v>
      </c>
      <c r="P9" t="s">
        <v>222</v>
      </c>
      <c r="Q9" t="s">
        <v>223</v>
      </c>
    </row>
    <row r="10" spans="1:19" ht="14.45" customHeight="1" x14ac:dyDescent="0.25">
      <c r="A10" t="s">
        <v>604</v>
      </c>
      <c r="B10" t="s">
        <v>161</v>
      </c>
      <c r="C10" t="s">
        <v>216</v>
      </c>
      <c r="D10" t="s">
        <v>217</v>
      </c>
      <c r="E10" t="s">
        <v>218</v>
      </c>
      <c r="F10" t="s">
        <v>208</v>
      </c>
      <c r="G10">
        <v>39</v>
      </c>
      <c r="H10">
        <v>-2.9</v>
      </c>
      <c r="I10">
        <v>81</v>
      </c>
      <c r="J10" s="70">
        <f t="shared" si="0"/>
        <v>-1.0743589743589743</v>
      </c>
      <c r="K10" s="70">
        <f t="shared" si="1"/>
        <v>1.0769230769230769</v>
      </c>
      <c r="L10" t="s">
        <v>229</v>
      </c>
      <c r="M10">
        <v>25</v>
      </c>
      <c r="N10" s="1">
        <f>(G10*M10)/1000</f>
        <v>0.97499999999999998</v>
      </c>
      <c r="O10" t="s">
        <v>210</v>
      </c>
      <c r="P10" t="s">
        <v>211</v>
      </c>
      <c r="Q10" t="s">
        <v>230</v>
      </c>
    </row>
    <row r="11" spans="1:19" s="160" customFormat="1" x14ac:dyDescent="0.25">
      <c r="A11" s="160" t="s">
        <v>604</v>
      </c>
      <c r="B11" s="160" t="s">
        <v>161</v>
      </c>
      <c r="C11" s="160" t="s">
        <v>231</v>
      </c>
      <c r="D11" s="160" t="s">
        <v>232</v>
      </c>
      <c r="E11" s="160" t="s">
        <v>218</v>
      </c>
      <c r="F11" s="160" t="s">
        <v>208</v>
      </c>
      <c r="G11" s="160">
        <v>1165</v>
      </c>
      <c r="H11" s="160">
        <v>335</v>
      </c>
      <c r="I11" s="160">
        <v>1995</v>
      </c>
      <c r="J11" s="161">
        <f t="shared" si="0"/>
        <v>-0.71244635193133043</v>
      </c>
      <c r="K11" s="161">
        <f t="shared" si="1"/>
        <v>0.71244635193133043</v>
      </c>
      <c r="L11" s="160" t="s">
        <v>229</v>
      </c>
      <c r="M11" s="160">
        <v>25</v>
      </c>
      <c r="N11" s="162">
        <f>(G11*M11)/1000</f>
        <v>29.125</v>
      </c>
      <c r="O11" s="160" t="s">
        <v>210</v>
      </c>
      <c r="P11" s="160" t="s">
        <v>211</v>
      </c>
      <c r="Q11" s="160" t="s">
        <v>233</v>
      </c>
    </row>
    <row r="12" spans="1:19" s="160" customFormat="1" x14ac:dyDescent="0.25">
      <c r="A12" s="160" t="s">
        <v>604</v>
      </c>
      <c r="B12" s="160" t="s">
        <v>161</v>
      </c>
      <c r="C12" s="160" t="s">
        <v>234</v>
      </c>
      <c r="D12" s="160" t="s">
        <v>235</v>
      </c>
      <c r="E12" s="160" t="s">
        <v>218</v>
      </c>
      <c r="F12" s="160" t="s">
        <v>208</v>
      </c>
      <c r="G12" s="160">
        <v>527</v>
      </c>
      <c r="H12" s="160">
        <v>285</v>
      </c>
      <c r="I12" s="160">
        <v>769</v>
      </c>
      <c r="J12" s="161">
        <f t="shared" ref="J12:K14" si="2">(H12-$G12)/$G12</f>
        <v>-0.45920303605313095</v>
      </c>
      <c r="K12" s="161">
        <f t="shared" si="2"/>
        <v>0.45920303605313095</v>
      </c>
      <c r="L12" s="160" t="s">
        <v>229</v>
      </c>
      <c r="M12" s="160">
        <v>25</v>
      </c>
      <c r="N12" s="162">
        <f>(G12*M12)/1000</f>
        <v>13.175000000000001</v>
      </c>
      <c r="O12" s="160" t="s">
        <v>210</v>
      </c>
      <c r="P12" s="160" t="s">
        <v>211</v>
      </c>
      <c r="Q12" s="160" t="s">
        <v>236</v>
      </c>
    </row>
    <row r="13" spans="1:19" s="160" customFormat="1" x14ac:dyDescent="0.25">
      <c r="A13" s="160" t="s">
        <v>606</v>
      </c>
      <c r="B13" s="160" t="s">
        <v>161</v>
      </c>
      <c r="C13" s="160" t="s">
        <v>607</v>
      </c>
      <c r="D13" s="160" t="s">
        <v>608</v>
      </c>
      <c r="E13" s="160" t="s">
        <v>218</v>
      </c>
      <c r="F13" s="160" t="s">
        <v>208</v>
      </c>
      <c r="G13" s="160">
        <v>183</v>
      </c>
      <c r="H13" s="160">
        <v>118</v>
      </c>
      <c r="I13" s="160">
        <v>228</v>
      </c>
      <c r="J13" s="161">
        <f t="shared" si="2"/>
        <v>-0.3551912568306011</v>
      </c>
      <c r="K13" s="161">
        <f t="shared" si="2"/>
        <v>0.24590163934426229</v>
      </c>
      <c r="L13" s="160" t="s">
        <v>229</v>
      </c>
      <c r="M13" s="160">
        <v>25</v>
      </c>
      <c r="N13" s="162">
        <f t="shared" ref="N13:N14" si="3">(G13*M13)/1000</f>
        <v>4.5750000000000002</v>
      </c>
      <c r="O13" s="160" t="s">
        <v>210</v>
      </c>
      <c r="P13" s="160" t="s">
        <v>609</v>
      </c>
      <c r="Q13" s="160" t="s">
        <v>610</v>
      </c>
      <c r="R13" s="160" t="s">
        <v>609</v>
      </c>
      <c r="S13" s="160" t="s">
        <v>610</v>
      </c>
    </row>
    <row r="14" spans="1:19" s="160" customFormat="1" x14ac:dyDescent="0.25">
      <c r="A14" s="160" t="s">
        <v>606</v>
      </c>
      <c r="B14" s="160" t="s">
        <v>161</v>
      </c>
      <c r="C14" s="160" t="s">
        <v>611</v>
      </c>
      <c r="D14" s="160" t="s">
        <v>608</v>
      </c>
      <c r="E14" s="160" t="s">
        <v>218</v>
      </c>
      <c r="F14" s="160" t="s">
        <v>208</v>
      </c>
      <c r="G14" s="160">
        <v>416</v>
      </c>
      <c r="H14" s="160">
        <v>259</v>
      </c>
      <c r="I14" s="160">
        <v>669</v>
      </c>
      <c r="J14" s="161">
        <f t="shared" si="2"/>
        <v>-0.37740384615384615</v>
      </c>
      <c r="K14" s="161">
        <f t="shared" si="2"/>
        <v>0.60817307692307687</v>
      </c>
      <c r="L14" s="160" t="s">
        <v>229</v>
      </c>
      <c r="M14" s="160">
        <v>26</v>
      </c>
      <c r="N14" s="162">
        <f t="shared" si="3"/>
        <v>10.816000000000001</v>
      </c>
      <c r="O14" s="160" t="s">
        <v>210</v>
      </c>
      <c r="P14" s="160" t="s">
        <v>609</v>
      </c>
      <c r="Q14" s="160" t="s">
        <v>610</v>
      </c>
      <c r="R14" s="160" t="s">
        <v>609</v>
      </c>
      <c r="S14" s="160" t="s">
        <v>610</v>
      </c>
    </row>
    <row r="15" spans="1:19" x14ac:dyDescent="0.25">
      <c r="A15" t="s">
        <v>604</v>
      </c>
      <c r="B15" t="s">
        <v>160</v>
      </c>
      <c r="C15" t="s">
        <v>238</v>
      </c>
      <c r="D15" t="s">
        <v>239</v>
      </c>
      <c r="E15" t="s">
        <v>218</v>
      </c>
      <c r="F15" t="s">
        <v>208</v>
      </c>
      <c r="G15" s="6">
        <v>-0.55000000000000004</v>
      </c>
      <c r="H15">
        <v>-0.77</v>
      </c>
      <c r="I15">
        <v>-0.34</v>
      </c>
      <c r="J15" s="70">
        <f t="shared" ref="J15:J17" si="4">(H15-$G15)/$G15</f>
        <v>0.39999999999999991</v>
      </c>
      <c r="K15" s="70">
        <f t="shared" ref="K15:K17" si="5">(I15-$G15)/$G15</f>
        <v>-0.38181818181818183</v>
      </c>
      <c r="L15" t="s">
        <v>209</v>
      </c>
      <c r="M15">
        <v>1</v>
      </c>
      <c r="N15" s="1">
        <f>G15*(44/12)</f>
        <v>-2.0166666666666666</v>
      </c>
      <c r="O15" t="s">
        <v>210</v>
      </c>
      <c r="P15" t="s">
        <v>211</v>
      </c>
      <c r="Q15" t="s">
        <v>240</v>
      </c>
    </row>
    <row r="16" spans="1:19" x14ac:dyDescent="0.25">
      <c r="A16" t="s">
        <v>604</v>
      </c>
      <c r="B16" t="s">
        <v>160</v>
      </c>
      <c r="C16" t="s">
        <v>241</v>
      </c>
      <c r="D16" t="s">
        <v>239</v>
      </c>
      <c r="E16" t="s">
        <v>218</v>
      </c>
      <c r="F16" t="s">
        <v>208</v>
      </c>
      <c r="G16">
        <f>0.9*0.08</f>
        <v>7.2000000000000008E-2</v>
      </c>
      <c r="H16" s="6">
        <f>0.9*0.06</f>
        <v>5.3999999999999999E-2</v>
      </c>
      <c r="I16" s="6">
        <f>0.9*0.11</f>
        <v>9.9000000000000005E-2</v>
      </c>
      <c r="J16" s="70">
        <f t="shared" si="4"/>
        <v>-0.25000000000000011</v>
      </c>
      <c r="K16" s="70">
        <f t="shared" si="5"/>
        <v>0.37499999999999989</v>
      </c>
      <c r="L16" t="s">
        <v>209</v>
      </c>
      <c r="M16">
        <v>1</v>
      </c>
      <c r="N16" s="7">
        <f>G16*(44/12)</f>
        <v>0.26400000000000001</v>
      </c>
      <c r="O16" t="s">
        <v>210</v>
      </c>
      <c r="P16" t="s">
        <v>211</v>
      </c>
      <c r="Q16" t="s">
        <v>242</v>
      </c>
    </row>
    <row r="17" spans="1:17" x14ac:dyDescent="0.25">
      <c r="A17" t="s">
        <v>604</v>
      </c>
      <c r="B17" t="s">
        <v>161</v>
      </c>
      <c r="C17" t="s">
        <v>238</v>
      </c>
      <c r="D17" t="s">
        <v>239</v>
      </c>
      <c r="E17" t="s">
        <v>218</v>
      </c>
      <c r="F17" t="s">
        <v>208</v>
      </c>
      <c r="G17">
        <v>137</v>
      </c>
      <c r="H17">
        <v>0</v>
      </c>
      <c r="I17">
        <v>493</v>
      </c>
      <c r="J17" s="70">
        <f t="shared" si="4"/>
        <v>-1</v>
      </c>
      <c r="K17" s="70">
        <f t="shared" si="5"/>
        <v>2.5985401459854014</v>
      </c>
      <c r="L17" t="s">
        <v>243</v>
      </c>
      <c r="M17">
        <v>25</v>
      </c>
      <c r="N17" s="1">
        <f>((G17*16/12)*M17)/1000</f>
        <v>4.5666666666666664</v>
      </c>
      <c r="O17" t="s">
        <v>210</v>
      </c>
      <c r="P17" t="s">
        <v>211</v>
      </c>
      <c r="Q17" t="s">
        <v>244</v>
      </c>
    </row>
    <row r="18" spans="1:17" x14ac:dyDescent="0.25">
      <c r="A18" t="s">
        <v>604</v>
      </c>
      <c r="B18" t="s">
        <v>162</v>
      </c>
      <c r="C18" t="s">
        <v>238</v>
      </c>
      <c r="D18" t="s">
        <v>239</v>
      </c>
      <c r="E18" t="s">
        <v>218</v>
      </c>
      <c r="F18" t="s">
        <v>208</v>
      </c>
      <c r="G18">
        <v>0</v>
      </c>
      <c r="L18" t="s">
        <v>225</v>
      </c>
      <c r="N18" s="1">
        <v>0</v>
      </c>
      <c r="O18" t="s">
        <v>210</v>
      </c>
      <c r="P18" t="s">
        <v>211</v>
      </c>
      <c r="Q18" t="s">
        <v>245</v>
      </c>
    </row>
    <row r="19" spans="1:17" s="160" customFormat="1" x14ac:dyDescent="0.25">
      <c r="A19" s="160" t="s">
        <v>606</v>
      </c>
      <c r="B19" s="160" t="s">
        <v>161</v>
      </c>
      <c r="C19" s="160" t="s">
        <v>614</v>
      </c>
      <c r="D19" s="160" t="s">
        <v>237</v>
      </c>
      <c r="F19" s="160" t="s">
        <v>208</v>
      </c>
      <c r="G19" s="160">
        <v>300</v>
      </c>
      <c r="H19" s="162">
        <f>$G19+J19*$G19</f>
        <v>190.1107345523329</v>
      </c>
      <c r="I19" s="162">
        <f>$G19+K19*$G19</f>
        <v>428.11120744010088</v>
      </c>
      <c r="J19" s="163">
        <f>AVERAGE(J13:J14)</f>
        <v>-0.36629755149222365</v>
      </c>
      <c r="K19" s="163">
        <f>AVERAGE(K13:K14)</f>
        <v>0.42703735813366961</v>
      </c>
      <c r="L19" s="160" t="s">
        <v>229</v>
      </c>
      <c r="M19" s="160">
        <v>25</v>
      </c>
      <c r="N19" s="164">
        <f>(G19*M19)/1000</f>
        <v>7.5</v>
      </c>
      <c r="O19" s="160" t="s">
        <v>210</v>
      </c>
    </row>
    <row r="20" spans="1:17" x14ac:dyDescent="0.25">
      <c r="A20" t="s">
        <v>606</v>
      </c>
      <c r="B20" t="s">
        <v>161</v>
      </c>
      <c r="C20" t="s">
        <v>617</v>
      </c>
      <c r="F20" t="s">
        <v>208</v>
      </c>
      <c r="G20">
        <v>8.5999999999999993E-2</v>
      </c>
      <c r="H20">
        <v>1.0999999999999999E-2</v>
      </c>
      <c r="I20">
        <v>0.03</v>
      </c>
      <c r="J20" s="163">
        <f>AVERAGE(J14:J15)</f>
        <v>1.1298076923076883E-2</v>
      </c>
      <c r="K20" s="163">
        <f>AVERAGE(K14:K15)</f>
        <v>0.11317744755244752</v>
      </c>
      <c r="L20" t="s">
        <v>615</v>
      </c>
      <c r="M20">
        <v>25</v>
      </c>
      <c r="N20" s="1">
        <f>((G20*(44/28)*M20)/1000)*180</f>
        <v>0.6081428571428571</v>
      </c>
      <c r="O20" t="s">
        <v>619</v>
      </c>
      <c r="P20" t="s">
        <v>618</v>
      </c>
      <c r="Q20" t="s">
        <v>616</v>
      </c>
    </row>
  </sheetData>
  <phoneticPr fontId="3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3"/>
  <sheetViews>
    <sheetView workbookViewId="0">
      <selection activeCell="D7" sqref="D7"/>
    </sheetView>
  </sheetViews>
  <sheetFormatPr defaultColWidth="9.140625" defaultRowHeight="12" x14ac:dyDescent="0.2"/>
  <cols>
    <col min="1" max="1" width="43.42578125" style="11" bestFit="1" customWidth="1"/>
    <col min="2" max="12" width="8.140625" style="11" customWidth="1"/>
    <col min="13" max="16384" width="9.140625" style="11"/>
  </cols>
  <sheetData>
    <row r="1" spans="1:12" ht="15.75" x14ac:dyDescent="0.25">
      <c r="A1" s="93" t="s">
        <v>340</v>
      </c>
      <c r="B1" s="94"/>
      <c r="C1" s="94"/>
      <c r="D1" s="95"/>
      <c r="E1" s="95"/>
      <c r="F1" s="95"/>
      <c r="G1" s="95"/>
      <c r="H1" s="96"/>
      <c r="I1" s="96"/>
      <c r="J1" s="96"/>
      <c r="K1" s="96"/>
      <c r="L1" s="10" t="s">
        <v>36</v>
      </c>
    </row>
    <row r="2" spans="1:12" ht="16.5" x14ac:dyDescent="0.25">
      <c r="A2" s="246" t="s">
        <v>341</v>
      </c>
      <c r="B2" s="246"/>
      <c r="C2" s="246"/>
      <c r="D2" s="246"/>
      <c r="E2" s="246"/>
      <c r="F2" s="246"/>
      <c r="G2" s="246"/>
      <c r="H2" s="96"/>
      <c r="I2" s="96"/>
      <c r="J2" s="96"/>
      <c r="K2" s="96"/>
      <c r="L2" s="10" t="s">
        <v>38</v>
      </c>
    </row>
    <row r="3" spans="1:12" x14ac:dyDescent="0.2">
      <c r="A3" s="96"/>
      <c r="B3" s="96"/>
      <c r="C3" s="96"/>
      <c r="D3" s="96"/>
      <c r="E3" s="96"/>
      <c r="F3" s="96"/>
      <c r="G3" s="96"/>
      <c r="H3" s="96"/>
      <c r="I3" s="96"/>
      <c r="J3" s="96"/>
      <c r="K3" s="96"/>
      <c r="L3" s="10" t="s">
        <v>41</v>
      </c>
    </row>
    <row r="4" spans="1:12" x14ac:dyDescent="0.2">
      <c r="A4" s="97"/>
      <c r="B4" s="97"/>
      <c r="C4" s="97"/>
      <c r="D4" s="97"/>
      <c r="E4" s="97"/>
      <c r="F4" s="97"/>
      <c r="G4" s="97"/>
      <c r="H4" s="97"/>
      <c r="I4" s="97"/>
      <c r="J4" s="97"/>
      <c r="K4" s="97"/>
      <c r="L4" s="97"/>
    </row>
    <row r="5" spans="1:12" ht="51" x14ac:dyDescent="0.2">
      <c r="A5" s="98" t="s">
        <v>342</v>
      </c>
      <c r="B5" s="99" t="s">
        <v>343</v>
      </c>
      <c r="C5" s="100" t="s">
        <v>344</v>
      </c>
      <c r="D5" s="100" t="s">
        <v>345</v>
      </c>
      <c r="E5" s="100" t="s">
        <v>346</v>
      </c>
      <c r="F5" s="100" t="s">
        <v>347</v>
      </c>
      <c r="G5" s="100" t="s">
        <v>348</v>
      </c>
      <c r="H5" s="100" t="s">
        <v>349</v>
      </c>
      <c r="I5" s="100" t="s">
        <v>350</v>
      </c>
      <c r="J5" s="100" t="s">
        <v>351</v>
      </c>
      <c r="K5" s="101" t="s">
        <v>352</v>
      </c>
      <c r="L5" s="101" t="s">
        <v>353</v>
      </c>
    </row>
    <row r="6" spans="1:12" ht="12.75" thickBot="1" x14ac:dyDescent="0.25">
      <c r="A6" s="102" t="s">
        <v>354</v>
      </c>
      <c r="B6" s="247" t="s">
        <v>355</v>
      </c>
      <c r="C6" s="247"/>
      <c r="D6" s="247"/>
      <c r="E6" s="247"/>
      <c r="F6" s="247"/>
      <c r="G6" s="247"/>
      <c r="H6" s="247"/>
      <c r="I6" s="247"/>
      <c r="J6" s="247"/>
      <c r="K6" s="247"/>
      <c r="L6" s="248"/>
    </row>
    <row r="7" spans="1:12" ht="14.25" thickTop="1" x14ac:dyDescent="0.2">
      <c r="A7" s="103" t="s">
        <v>356</v>
      </c>
      <c r="B7" s="104">
        <v>21852.348999999998</v>
      </c>
      <c r="C7" s="104" t="s">
        <v>84</v>
      </c>
      <c r="D7" s="104">
        <v>4.03</v>
      </c>
      <c r="E7" s="104">
        <v>0.46500000000000002</v>
      </c>
      <c r="F7" s="104" t="s">
        <v>84</v>
      </c>
      <c r="G7" s="104">
        <v>0.34100000000000003</v>
      </c>
      <c r="H7" s="104" t="s">
        <v>84</v>
      </c>
      <c r="I7" s="104">
        <v>3.3370000000000002</v>
      </c>
      <c r="J7" s="104" t="s">
        <v>69</v>
      </c>
      <c r="K7" s="104" t="s">
        <v>84</v>
      </c>
      <c r="L7" s="105">
        <v>21860.522000000001</v>
      </c>
    </row>
    <row r="8" spans="1:12" ht="13.5" x14ac:dyDescent="0.2">
      <c r="A8" s="106" t="s">
        <v>357</v>
      </c>
      <c r="B8" s="104" t="s">
        <v>84</v>
      </c>
      <c r="C8" s="104" t="s">
        <v>84</v>
      </c>
      <c r="D8" s="104" t="s">
        <v>84</v>
      </c>
      <c r="E8" s="104" t="s">
        <v>84</v>
      </c>
      <c r="F8" s="104" t="s">
        <v>84</v>
      </c>
      <c r="G8" s="104" t="s">
        <v>84</v>
      </c>
      <c r="H8" s="104" t="s">
        <v>84</v>
      </c>
      <c r="I8" s="104" t="s">
        <v>84</v>
      </c>
      <c r="J8" s="104" t="s">
        <v>84</v>
      </c>
      <c r="K8" s="104" t="s">
        <v>84</v>
      </c>
      <c r="L8" s="105" t="s">
        <v>84</v>
      </c>
    </row>
    <row r="9" spans="1:12" ht="13.5" x14ac:dyDescent="0.2">
      <c r="A9" s="106" t="s">
        <v>358</v>
      </c>
      <c r="B9" s="104" t="s">
        <v>69</v>
      </c>
      <c r="C9" s="104" t="s">
        <v>84</v>
      </c>
      <c r="D9" s="104">
        <v>2491.1309999999999</v>
      </c>
      <c r="E9" s="104">
        <v>2.86</v>
      </c>
      <c r="F9" s="104" t="s">
        <v>84</v>
      </c>
      <c r="G9" s="104" t="s">
        <v>69</v>
      </c>
      <c r="H9" s="104" t="s">
        <v>84</v>
      </c>
      <c r="I9" s="104">
        <v>0.64700000000000002</v>
      </c>
      <c r="J9" s="104" t="s">
        <v>84</v>
      </c>
      <c r="K9" s="104" t="s">
        <v>84</v>
      </c>
      <c r="L9" s="105">
        <v>2494.6379999999999</v>
      </c>
    </row>
    <row r="10" spans="1:12" ht="13.5" x14ac:dyDescent="0.2">
      <c r="A10" s="106" t="s">
        <v>359</v>
      </c>
      <c r="B10" s="104">
        <v>0.38700000000000001</v>
      </c>
      <c r="C10" s="104" t="s">
        <v>84</v>
      </c>
      <c r="D10" s="104">
        <v>0.13600000000000001</v>
      </c>
      <c r="E10" s="104">
        <v>243.50899999999999</v>
      </c>
      <c r="F10" s="104" t="s">
        <v>84</v>
      </c>
      <c r="G10" s="104" t="s">
        <v>69</v>
      </c>
      <c r="H10" s="104" t="s">
        <v>84</v>
      </c>
      <c r="I10" s="104" t="s">
        <v>69</v>
      </c>
      <c r="J10" s="104" t="s">
        <v>84</v>
      </c>
      <c r="K10" s="104" t="s">
        <v>84</v>
      </c>
      <c r="L10" s="105">
        <v>244.03200000000001</v>
      </c>
    </row>
    <row r="11" spans="1:12" ht="13.5" x14ac:dyDescent="0.2">
      <c r="A11" s="106" t="s">
        <v>360</v>
      </c>
      <c r="B11" s="104" t="s">
        <v>84</v>
      </c>
      <c r="C11" s="104" t="s">
        <v>84</v>
      </c>
      <c r="D11" s="104" t="s">
        <v>84</v>
      </c>
      <c r="E11" s="104" t="s">
        <v>84</v>
      </c>
      <c r="F11" s="104" t="s">
        <v>84</v>
      </c>
      <c r="G11" s="104" t="s">
        <v>84</v>
      </c>
      <c r="H11" s="104" t="s">
        <v>84</v>
      </c>
      <c r="I11" s="104" t="s">
        <v>84</v>
      </c>
      <c r="J11" s="104" t="s">
        <v>84</v>
      </c>
      <c r="K11" s="104" t="s">
        <v>84</v>
      </c>
      <c r="L11" s="105" t="s">
        <v>84</v>
      </c>
    </row>
    <row r="12" spans="1:12" ht="13.5" x14ac:dyDescent="0.2">
      <c r="A12" s="106" t="s">
        <v>361</v>
      </c>
      <c r="B12" s="104" t="s">
        <v>69</v>
      </c>
      <c r="C12" s="104" t="s">
        <v>84</v>
      </c>
      <c r="D12" s="104">
        <v>0.23699999999999999</v>
      </c>
      <c r="E12" s="104" t="s">
        <v>69</v>
      </c>
      <c r="F12" s="104" t="s">
        <v>84</v>
      </c>
      <c r="G12" s="104">
        <v>162.08099999999999</v>
      </c>
      <c r="H12" s="104" t="s">
        <v>84</v>
      </c>
      <c r="I12" s="104" t="s">
        <v>69</v>
      </c>
      <c r="J12" s="104" t="s">
        <v>84</v>
      </c>
      <c r="K12" s="104" t="s">
        <v>84</v>
      </c>
      <c r="L12" s="105">
        <v>162.31800000000001</v>
      </c>
    </row>
    <row r="13" spans="1:12" ht="13.5" x14ac:dyDescent="0.2">
      <c r="A13" s="106" t="s">
        <v>362</v>
      </c>
      <c r="B13" s="104" t="s">
        <v>69</v>
      </c>
      <c r="C13" s="104" t="s">
        <v>84</v>
      </c>
      <c r="D13" s="104">
        <v>0.67300000000000004</v>
      </c>
      <c r="E13" s="104" t="s">
        <v>69</v>
      </c>
      <c r="F13" s="104" t="s">
        <v>84</v>
      </c>
      <c r="G13" s="104">
        <v>0.79300000000000004</v>
      </c>
      <c r="H13" s="104">
        <v>6271.3249999999998</v>
      </c>
      <c r="I13" s="104">
        <v>0.316</v>
      </c>
      <c r="J13" s="104" t="s">
        <v>84</v>
      </c>
      <c r="K13" s="104" t="s">
        <v>84</v>
      </c>
      <c r="L13" s="105">
        <v>6273.107</v>
      </c>
    </row>
    <row r="14" spans="1:12" ht="13.5" x14ac:dyDescent="0.2">
      <c r="A14" s="106" t="s">
        <v>363</v>
      </c>
      <c r="B14" s="104" t="s">
        <v>69</v>
      </c>
      <c r="C14" s="104" t="s">
        <v>84</v>
      </c>
      <c r="D14" s="104">
        <v>0.27400000000000002</v>
      </c>
      <c r="E14" s="104" t="s">
        <v>69</v>
      </c>
      <c r="F14" s="104" t="s">
        <v>84</v>
      </c>
      <c r="G14" s="104" t="s">
        <v>69</v>
      </c>
      <c r="H14" s="104" t="s">
        <v>84</v>
      </c>
      <c r="I14" s="104">
        <v>1498.452</v>
      </c>
      <c r="J14" s="104" t="s">
        <v>69</v>
      </c>
      <c r="K14" s="104" t="s">
        <v>84</v>
      </c>
      <c r="L14" s="105">
        <v>1498.7260000000001</v>
      </c>
    </row>
    <row r="15" spans="1:12" ht="13.5" x14ac:dyDescent="0.2">
      <c r="A15" s="106" t="s">
        <v>364</v>
      </c>
      <c r="B15" s="104" t="s">
        <v>69</v>
      </c>
      <c r="C15" s="104" t="s">
        <v>84</v>
      </c>
      <c r="D15" s="104" t="s">
        <v>84</v>
      </c>
      <c r="E15" s="104" t="s">
        <v>84</v>
      </c>
      <c r="F15" s="104" t="s">
        <v>84</v>
      </c>
      <c r="G15" s="104" t="s">
        <v>84</v>
      </c>
      <c r="H15" s="104">
        <v>0.19900000000000001</v>
      </c>
      <c r="I15" s="104" t="s">
        <v>69</v>
      </c>
      <c r="J15" s="104">
        <v>1309.931</v>
      </c>
      <c r="K15" s="104" t="s">
        <v>84</v>
      </c>
      <c r="L15" s="105">
        <v>1310.1300000000001</v>
      </c>
    </row>
    <row r="16" spans="1:12" ht="13.5" x14ac:dyDescent="0.2">
      <c r="A16" s="106" t="s">
        <v>365</v>
      </c>
      <c r="B16" s="104" t="s">
        <v>84</v>
      </c>
      <c r="C16" s="104" t="s">
        <v>84</v>
      </c>
      <c r="D16" s="104" t="s">
        <v>84</v>
      </c>
      <c r="E16" s="104" t="s">
        <v>84</v>
      </c>
      <c r="F16" s="104" t="s">
        <v>84</v>
      </c>
      <c r="G16" s="104" t="s">
        <v>84</v>
      </c>
      <c r="H16" s="104" t="s">
        <v>84</v>
      </c>
      <c r="I16" s="104" t="s">
        <v>84</v>
      </c>
      <c r="J16" s="104" t="s">
        <v>84</v>
      </c>
      <c r="K16" s="104" t="s">
        <v>84</v>
      </c>
      <c r="L16" s="105" t="s">
        <v>84</v>
      </c>
    </row>
    <row r="17" spans="1:12" x14ac:dyDescent="0.2">
      <c r="A17" s="107" t="s">
        <v>366</v>
      </c>
      <c r="B17" s="105">
        <v>21852.736000000001</v>
      </c>
      <c r="C17" s="105" t="s">
        <v>84</v>
      </c>
      <c r="D17" s="105">
        <v>2496.4810000000002</v>
      </c>
      <c r="E17" s="105">
        <v>246.834</v>
      </c>
      <c r="F17" s="105" t="s">
        <v>84</v>
      </c>
      <c r="G17" s="105">
        <v>163.215</v>
      </c>
      <c r="H17" s="105">
        <v>6271.5240000000003</v>
      </c>
      <c r="I17" s="105">
        <v>1502.752</v>
      </c>
      <c r="J17" s="105">
        <v>1309.931</v>
      </c>
      <c r="K17" s="105" t="s">
        <v>84</v>
      </c>
      <c r="L17" s="105">
        <v>33843.472999999998</v>
      </c>
    </row>
    <row r="18" spans="1:12" ht="14.25" x14ac:dyDescent="0.2">
      <c r="A18" s="107" t="s">
        <v>367</v>
      </c>
      <c r="B18" s="105">
        <v>-7.7859999999999996</v>
      </c>
      <c r="C18" s="105" t="s">
        <v>84</v>
      </c>
      <c r="D18" s="105">
        <v>1.843</v>
      </c>
      <c r="E18" s="105">
        <v>2.802</v>
      </c>
      <c r="F18" s="105" t="s">
        <v>84</v>
      </c>
      <c r="G18" s="105">
        <v>0.89700000000000002</v>
      </c>
      <c r="H18" s="105">
        <v>-1.583</v>
      </c>
      <c r="I18" s="105">
        <v>4.0259999999999998</v>
      </c>
      <c r="J18" s="105">
        <v>-0.19900000000000001</v>
      </c>
      <c r="K18" s="105" t="s">
        <v>84</v>
      </c>
      <c r="L18" s="105">
        <v>0</v>
      </c>
    </row>
    <row r="19" spans="1:12" x14ac:dyDescent="0.2">
      <c r="A19" s="9"/>
      <c r="B19" s="9"/>
      <c r="C19" s="9"/>
      <c r="D19" s="9"/>
      <c r="E19" s="9"/>
      <c r="F19" s="9"/>
      <c r="G19" s="9"/>
      <c r="H19" s="9"/>
      <c r="I19" s="9"/>
      <c r="J19" s="9"/>
      <c r="K19" s="9"/>
      <c r="L19" s="9"/>
    </row>
    <row r="20" spans="1:12" x14ac:dyDescent="0.2">
      <c r="A20" s="244" t="s">
        <v>368</v>
      </c>
      <c r="B20" s="245"/>
      <c r="C20" s="245"/>
      <c r="D20" s="245"/>
      <c r="E20" s="245"/>
      <c r="F20" s="245"/>
      <c r="G20" s="245"/>
      <c r="H20" s="245"/>
      <c r="I20" s="245"/>
      <c r="J20" s="245"/>
      <c r="K20" s="245"/>
      <c r="L20" s="245"/>
    </row>
    <row r="21" spans="1:12" x14ac:dyDescent="0.2">
      <c r="A21" s="244" t="s">
        <v>369</v>
      </c>
      <c r="B21" s="245"/>
      <c r="C21" s="245"/>
      <c r="D21" s="245"/>
      <c r="E21" s="245"/>
      <c r="F21" s="245"/>
      <c r="G21" s="245"/>
      <c r="H21" s="245"/>
      <c r="I21" s="245"/>
      <c r="J21" s="245"/>
      <c r="K21" s="245"/>
      <c r="L21" s="245"/>
    </row>
    <row r="22" spans="1:12" x14ac:dyDescent="0.2">
      <c r="A22" s="249" t="s">
        <v>370</v>
      </c>
      <c r="B22" s="250"/>
      <c r="C22" s="250"/>
      <c r="D22" s="250"/>
      <c r="E22" s="250"/>
      <c r="F22" s="250"/>
      <c r="G22" s="250"/>
      <c r="H22" s="250"/>
      <c r="I22" s="250"/>
      <c r="J22" s="250"/>
      <c r="K22" s="250"/>
      <c r="L22" s="250"/>
    </row>
    <row r="23" spans="1:12" x14ac:dyDescent="0.2">
      <c r="A23" s="244" t="s">
        <v>371</v>
      </c>
      <c r="B23" s="245"/>
      <c r="C23" s="245"/>
      <c r="D23" s="245"/>
      <c r="E23" s="245"/>
      <c r="F23" s="245"/>
      <c r="G23" s="245"/>
      <c r="H23" s="245"/>
      <c r="I23" s="245"/>
      <c r="J23" s="245"/>
      <c r="K23" s="245"/>
      <c r="L23" s="245"/>
    </row>
  </sheetData>
  <mergeCells count="6">
    <mergeCell ref="A23:L23"/>
    <mergeCell ref="A2:G2"/>
    <mergeCell ref="B6:L6"/>
    <mergeCell ref="A20:L20"/>
    <mergeCell ref="A21:L21"/>
    <mergeCell ref="A22:L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38"/>
  <sheetViews>
    <sheetView workbookViewId="0">
      <selection activeCell="D12" sqref="D12"/>
    </sheetView>
  </sheetViews>
  <sheetFormatPr defaultColWidth="8" defaultRowHeight="12" x14ac:dyDescent="0.2"/>
  <cols>
    <col min="1" max="1" width="35.140625" style="11" customWidth="1"/>
    <col min="2" max="2" width="21" style="11" customWidth="1"/>
    <col min="3" max="4" width="7.85546875" style="11" customWidth="1"/>
    <col min="5" max="5" width="7.140625" style="11" customWidth="1"/>
    <col min="6" max="12" width="9" style="11" customWidth="1"/>
    <col min="13" max="16" width="6.140625" style="11" customWidth="1"/>
    <col min="17" max="17" width="7.85546875" style="11" customWidth="1"/>
    <col min="18" max="19" width="6.85546875" style="11" customWidth="1"/>
    <col min="20" max="20" width="9" style="11" customWidth="1"/>
    <col min="21" max="21" width="2.140625" style="11" customWidth="1"/>
    <col min="22" max="16384" width="8" style="11"/>
  </cols>
  <sheetData>
    <row r="1" spans="1:21" ht="15.75" x14ac:dyDescent="0.25">
      <c r="A1" s="8" t="s">
        <v>300</v>
      </c>
      <c r="B1" s="8"/>
      <c r="C1" s="9"/>
      <c r="D1" s="9"/>
      <c r="E1" s="9"/>
      <c r="F1" s="9"/>
      <c r="G1" s="9"/>
      <c r="H1" s="9"/>
      <c r="I1" s="9"/>
      <c r="J1" s="9"/>
      <c r="K1" s="9"/>
      <c r="L1" s="9"/>
      <c r="M1" s="9"/>
      <c r="N1" s="9"/>
      <c r="O1" s="9"/>
      <c r="P1" s="9"/>
      <c r="Q1" s="9"/>
      <c r="R1" s="9"/>
      <c r="S1" s="9"/>
      <c r="T1" s="10" t="s">
        <v>36</v>
      </c>
      <c r="U1" s="9"/>
    </row>
    <row r="2" spans="1:21" ht="15.75" x14ac:dyDescent="0.25">
      <c r="A2" s="8" t="s">
        <v>301</v>
      </c>
      <c r="B2" s="8"/>
      <c r="C2" s="9"/>
      <c r="D2" s="9"/>
      <c r="E2" s="9"/>
      <c r="F2" s="9"/>
      <c r="G2" s="9"/>
      <c r="H2" s="9"/>
      <c r="I2" s="9"/>
      <c r="J2" s="9"/>
      <c r="K2" s="9"/>
      <c r="L2" s="9"/>
      <c r="M2" s="9"/>
      <c r="N2" s="9"/>
      <c r="O2" s="9"/>
      <c r="P2" s="9"/>
      <c r="Q2" s="9"/>
      <c r="R2" s="9"/>
      <c r="S2" s="9"/>
      <c r="T2" s="10" t="s">
        <v>38</v>
      </c>
      <c r="U2" s="9"/>
    </row>
    <row r="3" spans="1:21" ht="15.75" x14ac:dyDescent="0.25">
      <c r="A3" s="8" t="s">
        <v>39</v>
      </c>
      <c r="B3" s="8"/>
      <c r="C3" s="9"/>
      <c r="D3" s="9"/>
      <c r="E3" s="9"/>
      <c r="F3" s="9"/>
      <c r="G3" s="9"/>
      <c r="H3" s="9"/>
      <c r="I3" s="9"/>
      <c r="J3" s="9"/>
      <c r="K3" s="9"/>
      <c r="L3" s="9"/>
      <c r="M3" s="9"/>
      <c r="N3" s="9"/>
      <c r="O3" s="9"/>
      <c r="P3" s="9"/>
      <c r="Q3" s="9"/>
      <c r="R3" s="9"/>
      <c r="S3" s="9"/>
      <c r="T3" s="10" t="s">
        <v>41</v>
      </c>
      <c r="U3" s="9"/>
    </row>
    <row r="4" spans="1:21" ht="12" customHeight="1" x14ac:dyDescent="0.2">
      <c r="A4" s="9"/>
      <c r="B4" s="9"/>
      <c r="C4" s="9"/>
      <c r="D4" s="9"/>
      <c r="E4" s="9"/>
      <c r="F4" s="9"/>
      <c r="G4" s="9"/>
      <c r="H4" s="9"/>
      <c r="I4" s="9"/>
      <c r="J4" s="9"/>
      <c r="K4" s="9"/>
      <c r="L4" s="9"/>
      <c r="M4" s="9"/>
      <c r="N4" s="9"/>
      <c r="O4" s="9"/>
      <c r="P4" s="9"/>
      <c r="Q4" s="9"/>
      <c r="R4" s="9"/>
      <c r="S4" s="9"/>
      <c r="T4" s="13"/>
      <c r="U4" s="9"/>
    </row>
    <row r="5" spans="1:21" ht="30" customHeight="1" x14ac:dyDescent="0.2">
      <c r="A5" s="272" t="s">
        <v>42</v>
      </c>
      <c r="B5" s="273"/>
      <c r="C5" s="274" t="s">
        <v>43</v>
      </c>
      <c r="D5" s="275"/>
      <c r="E5" s="276"/>
      <c r="F5" s="274" t="s">
        <v>44</v>
      </c>
      <c r="G5" s="275"/>
      <c r="H5" s="275"/>
      <c r="I5" s="275"/>
      <c r="J5" s="275"/>
      <c r="K5" s="275"/>
      <c r="L5" s="276"/>
      <c r="M5" s="274" t="s">
        <v>45</v>
      </c>
      <c r="N5" s="275"/>
      <c r="O5" s="275"/>
      <c r="P5" s="275"/>
      <c r="Q5" s="275"/>
      <c r="R5" s="275"/>
      <c r="S5" s="276"/>
      <c r="T5" s="266" t="s">
        <v>302</v>
      </c>
      <c r="U5" s="9"/>
    </row>
    <row r="6" spans="1:21" ht="47.25" customHeight="1" x14ac:dyDescent="0.2">
      <c r="A6" s="277" t="s">
        <v>47</v>
      </c>
      <c r="B6" s="266" t="s">
        <v>48</v>
      </c>
      <c r="C6" s="266" t="s">
        <v>49</v>
      </c>
      <c r="D6" s="266" t="s">
        <v>50</v>
      </c>
      <c r="E6" s="262" t="s">
        <v>51</v>
      </c>
      <c r="F6" s="260" t="s">
        <v>52</v>
      </c>
      <c r="G6" s="261"/>
      <c r="H6" s="262"/>
      <c r="I6" s="266" t="s">
        <v>303</v>
      </c>
      <c r="J6" s="266" t="s">
        <v>304</v>
      </c>
      <c r="K6" s="260" t="s">
        <v>54</v>
      </c>
      <c r="L6" s="262"/>
      <c r="M6" s="260" t="s">
        <v>305</v>
      </c>
      <c r="N6" s="261"/>
      <c r="O6" s="262"/>
      <c r="P6" s="266" t="s">
        <v>306</v>
      </c>
      <c r="Q6" s="266" t="s">
        <v>307</v>
      </c>
      <c r="R6" s="260" t="s">
        <v>308</v>
      </c>
      <c r="S6" s="262"/>
      <c r="T6" s="267"/>
      <c r="U6" s="9"/>
    </row>
    <row r="7" spans="1:21" ht="12.75" customHeight="1" x14ac:dyDescent="0.2">
      <c r="A7" s="278"/>
      <c r="B7" s="267"/>
      <c r="C7" s="267"/>
      <c r="D7" s="267"/>
      <c r="E7" s="281"/>
      <c r="F7" s="263"/>
      <c r="G7" s="264"/>
      <c r="H7" s="265"/>
      <c r="I7" s="267"/>
      <c r="J7" s="267"/>
      <c r="K7" s="263"/>
      <c r="L7" s="265"/>
      <c r="M7" s="263"/>
      <c r="N7" s="264"/>
      <c r="O7" s="265"/>
      <c r="P7" s="267"/>
      <c r="Q7" s="267"/>
      <c r="R7" s="263"/>
      <c r="S7" s="265"/>
      <c r="T7" s="267"/>
      <c r="U7" s="9"/>
    </row>
    <row r="8" spans="1:21" ht="53.25" customHeight="1" x14ac:dyDescent="0.2">
      <c r="A8" s="278"/>
      <c r="B8" s="267"/>
      <c r="C8" s="267"/>
      <c r="D8" s="267"/>
      <c r="E8" s="281"/>
      <c r="F8" s="16" t="s">
        <v>58</v>
      </c>
      <c r="G8" s="16" t="s">
        <v>59</v>
      </c>
      <c r="H8" s="16" t="s">
        <v>60</v>
      </c>
      <c r="I8" s="268"/>
      <c r="J8" s="268"/>
      <c r="K8" s="79" t="s">
        <v>309</v>
      </c>
      <c r="L8" s="81" t="s">
        <v>62</v>
      </c>
      <c r="M8" s="16" t="s">
        <v>58</v>
      </c>
      <c r="N8" s="16" t="s">
        <v>59</v>
      </c>
      <c r="O8" s="16" t="s">
        <v>60</v>
      </c>
      <c r="P8" s="268"/>
      <c r="Q8" s="268"/>
      <c r="R8" s="79" t="s">
        <v>61</v>
      </c>
      <c r="S8" s="81" t="s">
        <v>62</v>
      </c>
      <c r="T8" s="268"/>
      <c r="U8" s="9"/>
    </row>
    <row r="9" spans="1:21" ht="21.75" customHeight="1" thickBot="1" x14ac:dyDescent="0.25">
      <c r="A9" s="279"/>
      <c r="B9" s="280"/>
      <c r="C9" s="280"/>
      <c r="D9" s="280"/>
      <c r="E9" s="282"/>
      <c r="F9" s="269" t="s">
        <v>63</v>
      </c>
      <c r="G9" s="270"/>
      <c r="H9" s="270"/>
      <c r="I9" s="270"/>
      <c r="J9" s="270"/>
      <c r="K9" s="270"/>
      <c r="L9" s="271"/>
      <c r="M9" s="269" t="s">
        <v>64</v>
      </c>
      <c r="N9" s="270"/>
      <c r="O9" s="270"/>
      <c r="P9" s="270"/>
      <c r="Q9" s="270"/>
      <c r="R9" s="270"/>
      <c r="S9" s="271"/>
      <c r="T9" s="19" t="s">
        <v>65</v>
      </c>
      <c r="U9" s="9"/>
    </row>
    <row r="10" spans="1:21" ht="12.75" thickTop="1" x14ac:dyDescent="0.2">
      <c r="A10" s="20" t="s">
        <v>310</v>
      </c>
      <c r="B10" s="21" t="s">
        <v>67</v>
      </c>
      <c r="C10" s="22">
        <v>21852.736000000001</v>
      </c>
      <c r="D10" s="22">
        <v>15894.144</v>
      </c>
      <c r="E10" s="22">
        <v>5958.5919999999996</v>
      </c>
      <c r="F10" s="22">
        <v>1.7321942662008101</v>
      </c>
      <c r="G10" s="22">
        <v>-1.46173751424078</v>
      </c>
      <c r="H10" s="22">
        <v>0.27045675196003</v>
      </c>
      <c r="I10" s="22" t="s">
        <v>311</v>
      </c>
      <c r="J10" s="22" t="s">
        <v>311</v>
      </c>
      <c r="K10" s="22">
        <v>0.13622054764321001</v>
      </c>
      <c r="L10" s="22">
        <v>-0.18946657196868</v>
      </c>
      <c r="M10" s="22">
        <v>37853.184000000001</v>
      </c>
      <c r="N10" s="22">
        <v>-31942.964</v>
      </c>
      <c r="O10" s="22">
        <v>5910.22</v>
      </c>
      <c r="P10" s="22" t="s">
        <v>311</v>
      </c>
      <c r="Q10" s="22" t="s">
        <v>311</v>
      </c>
      <c r="R10" s="22">
        <v>2165.1089999999999</v>
      </c>
      <c r="S10" s="22">
        <v>-1128.954</v>
      </c>
      <c r="T10" s="22">
        <v>-25470.04166666669</v>
      </c>
      <c r="U10" s="88"/>
    </row>
    <row r="11" spans="1:21" x14ac:dyDescent="0.2">
      <c r="A11" s="27" t="s">
        <v>312</v>
      </c>
      <c r="B11" s="21"/>
      <c r="C11" s="22">
        <v>21760.48</v>
      </c>
      <c r="D11" s="22">
        <v>15841.472</v>
      </c>
      <c r="E11" s="22">
        <v>5919.0079999999998</v>
      </c>
      <c r="F11" s="22">
        <v>1.73360100512489</v>
      </c>
      <c r="G11" s="22">
        <v>-1.46678097174327</v>
      </c>
      <c r="H11" s="22">
        <v>0.26682003338162003</v>
      </c>
      <c r="I11" s="22" t="s">
        <v>70</v>
      </c>
      <c r="J11" s="22" t="s">
        <v>70</v>
      </c>
      <c r="K11" s="22">
        <v>0.13644287601555999</v>
      </c>
      <c r="L11" s="22">
        <v>-0.18277741810789999</v>
      </c>
      <c r="M11" s="22">
        <v>37723.99</v>
      </c>
      <c r="N11" s="22">
        <v>-31917.858</v>
      </c>
      <c r="O11" s="22">
        <v>5806.1319999999996</v>
      </c>
      <c r="P11" s="22" t="s">
        <v>70</v>
      </c>
      <c r="Q11" s="22" t="s">
        <v>70</v>
      </c>
      <c r="R11" s="22">
        <v>2161.4560000000001</v>
      </c>
      <c r="S11" s="22">
        <v>-1081.8610000000001</v>
      </c>
      <c r="T11" s="22">
        <v>-25247.66566666669</v>
      </c>
      <c r="U11" s="9"/>
    </row>
    <row r="12" spans="1:21" x14ac:dyDescent="0.2">
      <c r="A12" s="24" t="s">
        <v>313</v>
      </c>
      <c r="B12" s="76" t="s">
        <v>313</v>
      </c>
      <c r="C12" s="22">
        <v>21760.48</v>
      </c>
      <c r="D12" s="76">
        <v>15841.472</v>
      </c>
      <c r="E12" s="76">
        <v>5919.0079999999998</v>
      </c>
      <c r="F12" s="22">
        <v>1.73360100512489</v>
      </c>
      <c r="G12" s="22">
        <v>-1.46678097174327</v>
      </c>
      <c r="H12" s="22">
        <v>0.26682003338162003</v>
      </c>
      <c r="I12" s="22" t="s">
        <v>70</v>
      </c>
      <c r="J12" s="22" t="s">
        <v>70</v>
      </c>
      <c r="K12" s="22">
        <v>0.13644287601555999</v>
      </c>
      <c r="L12" s="22">
        <v>-0.18277741810789999</v>
      </c>
      <c r="M12" s="76">
        <v>37723.99</v>
      </c>
      <c r="N12" s="76">
        <v>-31917.858</v>
      </c>
      <c r="O12" s="22">
        <v>5806.1319999999996</v>
      </c>
      <c r="P12" s="76" t="s">
        <v>70</v>
      </c>
      <c r="Q12" s="76" t="s">
        <v>70</v>
      </c>
      <c r="R12" s="76">
        <v>2161.4560000000001</v>
      </c>
      <c r="S12" s="76">
        <v>-1081.8610000000001</v>
      </c>
      <c r="T12" s="22">
        <v>-25247.66566666669</v>
      </c>
      <c r="U12" s="9"/>
    </row>
    <row r="13" spans="1:21" ht="13.5" x14ac:dyDescent="0.2">
      <c r="A13" s="26" t="s">
        <v>314</v>
      </c>
      <c r="B13" s="21" t="s">
        <v>67</v>
      </c>
      <c r="C13" s="22">
        <v>92.256</v>
      </c>
      <c r="D13" s="22">
        <v>52.671999999999997</v>
      </c>
      <c r="E13" s="22">
        <v>39.584000000000003</v>
      </c>
      <c r="F13" s="22">
        <v>1.4003858827610101</v>
      </c>
      <c r="G13" s="22">
        <v>-0.27213406174124</v>
      </c>
      <c r="H13" s="22">
        <v>1.1282518210197701</v>
      </c>
      <c r="I13" s="22" t="s">
        <v>69</v>
      </c>
      <c r="J13" s="22" t="s">
        <v>311</v>
      </c>
      <c r="K13" s="22">
        <v>6.9353736330500002E-2</v>
      </c>
      <c r="L13" s="22">
        <v>-1.1896978577202899</v>
      </c>
      <c r="M13" s="22">
        <v>129.19399999999999</v>
      </c>
      <c r="N13" s="22">
        <v>-25.106000000000002</v>
      </c>
      <c r="O13" s="22">
        <v>104.08799999999999</v>
      </c>
      <c r="P13" s="22" t="s">
        <v>69</v>
      </c>
      <c r="Q13" s="22" t="s">
        <v>311</v>
      </c>
      <c r="R13" s="22">
        <v>3.653</v>
      </c>
      <c r="S13" s="22">
        <v>-47.093000000000004</v>
      </c>
      <c r="T13" s="22">
        <v>-222.3760000000002</v>
      </c>
      <c r="U13" s="9"/>
    </row>
    <row r="14" spans="1:21" x14ac:dyDescent="0.2">
      <c r="A14" s="27" t="s">
        <v>315</v>
      </c>
      <c r="B14" s="21"/>
      <c r="C14" s="22">
        <v>15.063000000000001</v>
      </c>
      <c r="D14" s="22">
        <v>13.18</v>
      </c>
      <c r="E14" s="22">
        <v>1.883</v>
      </c>
      <c r="F14" s="22">
        <v>2.0910841133904299</v>
      </c>
      <c r="G14" s="22">
        <v>-1.07342494854943</v>
      </c>
      <c r="H14" s="22">
        <v>1.0176591648410001</v>
      </c>
      <c r="I14" s="22" t="s">
        <v>69</v>
      </c>
      <c r="J14" s="22" t="s">
        <v>70</v>
      </c>
      <c r="K14" s="22">
        <v>0.12966616084977001</v>
      </c>
      <c r="L14" s="22">
        <v>-4.7769516728624497</v>
      </c>
      <c r="M14" s="22">
        <v>31.498000000000001</v>
      </c>
      <c r="N14" s="22">
        <v>-16.169</v>
      </c>
      <c r="O14" s="22">
        <v>15.329000000000001</v>
      </c>
      <c r="P14" s="22" t="s">
        <v>69</v>
      </c>
      <c r="Q14" s="22" t="s">
        <v>70</v>
      </c>
      <c r="R14" s="22">
        <v>1.7090000000000001</v>
      </c>
      <c r="S14" s="22">
        <v>-8.9949999999999992</v>
      </c>
      <c r="T14" s="22">
        <v>-29.491000000000032</v>
      </c>
      <c r="U14" s="9"/>
    </row>
    <row r="15" spans="1:21" x14ac:dyDescent="0.2">
      <c r="A15" s="24" t="s">
        <v>316</v>
      </c>
      <c r="B15" s="76" t="s">
        <v>316</v>
      </c>
      <c r="C15" s="22">
        <v>15.063000000000001</v>
      </c>
      <c r="D15" s="76">
        <v>13.18</v>
      </c>
      <c r="E15" s="76">
        <v>1.883</v>
      </c>
      <c r="F15" s="22">
        <v>2.0910841133904299</v>
      </c>
      <c r="G15" s="22">
        <v>-1.07342494854943</v>
      </c>
      <c r="H15" s="22">
        <v>1.0176591648410001</v>
      </c>
      <c r="I15" s="22" t="s">
        <v>69</v>
      </c>
      <c r="J15" s="22" t="s">
        <v>70</v>
      </c>
      <c r="K15" s="22">
        <v>0.12966616084977001</v>
      </c>
      <c r="L15" s="22">
        <v>-4.7769516728624497</v>
      </c>
      <c r="M15" s="76">
        <v>31.498000000000001</v>
      </c>
      <c r="N15" s="76">
        <v>-16.169</v>
      </c>
      <c r="O15" s="22">
        <v>15.329000000000001</v>
      </c>
      <c r="P15" s="76" t="s">
        <v>69</v>
      </c>
      <c r="Q15" s="76" t="s">
        <v>70</v>
      </c>
      <c r="R15" s="76">
        <v>1.7090000000000001</v>
      </c>
      <c r="S15" s="76">
        <v>-8.9949999999999992</v>
      </c>
      <c r="T15" s="22">
        <v>-29.491000000000032</v>
      </c>
      <c r="U15" s="9"/>
    </row>
    <row r="16" spans="1:21" x14ac:dyDescent="0.2">
      <c r="A16" s="27" t="s">
        <v>317</v>
      </c>
      <c r="B16" s="21"/>
      <c r="C16" s="22">
        <v>37.223999999999997</v>
      </c>
      <c r="D16" s="22">
        <v>24.023</v>
      </c>
      <c r="E16" s="22">
        <v>13.201000000000001</v>
      </c>
      <c r="F16" s="22">
        <v>1.8020363206533401</v>
      </c>
      <c r="G16" s="22">
        <v>-0.24008704061896</v>
      </c>
      <c r="H16" s="22">
        <v>1.5619492800343899</v>
      </c>
      <c r="I16" s="22" t="s">
        <v>69</v>
      </c>
      <c r="J16" s="22" t="s">
        <v>70</v>
      </c>
      <c r="K16" s="22">
        <v>-2.0938267493649999E-2</v>
      </c>
      <c r="L16" s="22">
        <v>-1.53851980910537</v>
      </c>
      <c r="M16" s="22">
        <v>67.078999999999994</v>
      </c>
      <c r="N16" s="22">
        <v>-8.9369999999999994</v>
      </c>
      <c r="O16" s="22">
        <v>58.142000000000003</v>
      </c>
      <c r="P16" s="22" t="s">
        <v>69</v>
      </c>
      <c r="Q16" s="22" t="s">
        <v>70</v>
      </c>
      <c r="R16" s="22">
        <v>-0.503</v>
      </c>
      <c r="S16" s="22">
        <v>-20.309999999999999</v>
      </c>
      <c r="T16" s="22">
        <v>-136.87300000000013</v>
      </c>
      <c r="U16" s="9"/>
    </row>
    <row r="17" spans="1:21" x14ac:dyDescent="0.2">
      <c r="A17" s="24" t="s">
        <v>318</v>
      </c>
      <c r="B17" s="76" t="s">
        <v>318</v>
      </c>
      <c r="C17" s="22">
        <v>37.223999999999997</v>
      </c>
      <c r="D17" s="76">
        <v>24.023</v>
      </c>
      <c r="E17" s="76">
        <v>13.201000000000001</v>
      </c>
      <c r="F17" s="22">
        <v>1.8020363206533401</v>
      </c>
      <c r="G17" s="22">
        <v>-0.24008704061896</v>
      </c>
      <c r="H17" s="22">
        <v>1.5619492800343899</v>
      </c>
      <c r="I17" s="22" t="s">
        <v>69</v>
      </c>
      <c r="J17" s="22" t="s">
        <v>70</v>
      </c>
      <c r="K17" s="22">
        <v>-2.0938267493649999E-2</v>
      </c>
      <c r="L17" s="22">
        <v>-1.53851980910537</v>
      </c>
      <c r="M17" s="76">
        <v>67.078999999999994</v>
      </c>
      <c r="N17" s="76">
        <v>-8.9369999999999994</v>
      </c>
      <c r="O17" s="22">
        <v>58.142000000000003</v>
      </c>
      <c r="P17" s="76" t="s">
        <v>69</v>
      </c>
      <c r="Q17" s="76" t="s">
        <v>70</v>
      </c>
      <c r="R17" s="76">
        <v>-0.503</v>
      </c>
      <c r="S17" s="76">
        <v>-20.309999999999999</v>
      </c>
      <c r="T17" s="22">
        <v>-136.87300000000013</v>
      </c>
      <c r="U17" s="9"/>
    </row>
    <row r="18" spans="1:21" x14ac:dyDescent="0.2">
      <c r="A18" s="27" t="s">
        <v>319</v>
      </c>
      <c r="B18" s="21"/>
      <c r="C18" s="22">
        <v>22.952000000000002</v>
      </c>
      <c r="D18" s="22">
        <v>0.66700000000000004</v>
      </c>
      <c r="E18" s="22">
        <v>22.285</v>
      </c>
      <c r="F18" s="22">
        <v>0.61924886720112005</v>
      </c>
      <c r="G18" s="22" t="s">
        <v>69</v>
      </c>
      <c r="H18" s="22">
        <v>0.61924886720112005</v>
      </c>
      <c r="I18" s="22" t="s">
        <v>69</v>
      </c>
      <c r="J18" s="22" t="s">
        <v>70</v>
      </c>
      <c r="K18" s="22">
        <v>-0.68065967016492002</v>
      </c>
      <c r="L18" s="22">
        <v>-0.75337671079200996</v>
      </c>
      <c r="M18" s="22">
        <v>14.212999999999999</v>
      </c>
      <c r="N18" s="22" t="s">
        <v>69</v>
      </c>
      <c r="O18" s="22">
        <v>14.212999999999999</v>
      </c>
      <c r="P18" s="22" t="s">
        <v>69</v>
      </c>
      <c r="Q18" s="22" t="s">
        <v>70</v>
      </c>
      <c r="R18" s="22">
        <v>-0.45400000000000001</v>
      </c>
      <c r="S18" s="22">
        <v>-16.789000000000001</v>
      </c>
      <c r="T18" s="22">
        <v>11.11000000000001</v>
      </c>
      <c r="U18" s="9"/>
    </row>
    <row r="19" spans="1:21" x14ac:dyDescent="0.2">
      <c r="A19" s="24" t="s">
        <v>320</v>
      </c>
      <c r="B19" s="76" t="s">
        <v>320</v>
      </c>
      <c r="C19" s="22">
        <v>3.7639999999999998</v>
      </c>
      <c r="D19" s="76">
        <v>0.57799999999999996</v>
      </c>
      <c r="E19" s="76">
        <v>3.1859999999999999</v>
      </c>
      <c r="F19" s="22">
        <v>0.91950053134962995</v>
      </c>
      <c r="G19" s="22" t="s">
        <v>69</v>
      </c>
      <c r="H19" s="22">
        <v>0.91950053134962995</v>
      </c>
      <c r="I19" s="22" t="s">
        <v>69</v>
      </c>
      <c r="J19" s="22" t="s">
        <v>70</v>
      </c>
      <c r="K19" s="22">
        <v>-0.78546712802768004</v>
      </c>
      <c r="L19" s="22">
        <v>-1.1208411801632101</v>
      </c>
      <c r="M19" s="76">
        <v>3.4609999999999999</v>
      </c>
      <c r="N19" s="76" t="s">
        <v>69</v>
      </c>
      <c r="O19" s="22">
        <v>3.4609999999999999</v>
      </c>
      <c r="P19" s="76" t="s">
        <v>69</v>
      </c>
      <c r="Q19" s="76" t="s">
        <v>70</v>
      </c>
      <c r="R19" s="76">
        <v>-0.45400000000000001</v>
      </c>
      <c r="S19" s="76">
        <v>-3.5710000000000002</v>
      </c>
      <c r="T19" s="22">
        <v>2.0680000000000001</v>
      </c>
      <c r="U19" s="9"/>
    </row>
    <row r="20" spans="1:21" x14ac:dyDescent="0.2">
      <c r="A20" s="24" t="s">
        <v>321</v>
      </c>
      <c r="B20" s="76" t="s">
        <v>321</v>
      </c>
      <c r="C20" s="22">
        <v>19.187999999999999</v>
      </c>
      <c r="D20" s="76">
        <v>8.8999999999999996E-2</v>
      </c>
      <c r="E20" s="76">
        <v>19.099</v>
      </c>
      <c r="F20" s="22">
        <v>0.56035021888680003</v>
      </c>
      <c r="G20" s="22" t="s">
        <v>69</v>
      </c>
      <c r="H20" s="22">
        <v>0.56035021888680003</v>
      </c>
      <c r="I20" s="22" t="s">
        <v>69</v>
      </c>
      <c r="J20" s="22" t="s">
        <v>70</v>
      </c>
      <c r="K20" s="22" t="s">
        <v>69</v>
      </c>
      <c r="L20" s="22">
        <v>-0.69207811927326002</v>
      </c>
      <c r="M20" s="76">
        <v>10.752000000000001</v>
      </c>
      <c r="N20" s="76" t="s">
        <v>69</v>
      </c>
      <c r="O20" s="22">
        <v>10.752000000000001</v>
      </c>
      <c r="P20" s="76" t="s">
        <v>69</v>
      </c>
      <c r="Q20" s="76" t="s">
        <v>70</v>
      </c>
      <c r="R20" s="76" t="s">
        <v>69</v>
      </c>
      <c r="S20" s="76">
        <v>-13.218</v>
      </c>
      <c r="T20" s="22">
        <v>9.0420000000000105</v>
      </c>
    </row>
    <row r="21" spans="1:21" x14ac:dyDescent="0.2">
      <c r="A21" s="23" t="s">
        <v>322</v>
      </c>
      <c r="B21" s="21"/>
      <c r="C21" s="22">
        <v>16.41</v>
      </c>
      <c r="D21" s="22">
        <v>14.195</v>
      </c>
      <c r="E21" s="22">
        <v>2.2149999999999999</v>
      </c>
      <c r="F21" s="22">
        <v>0.94820231566117996</v>
      </c>
      <c r="G21" s="22" t="s">
        <v>69</v>
      </c>
      <c r="H21" s="22">
        <v>0.94820231566117996</v>
      </c>
      <c r="I21" s="22" t="s">
        <v>69</v>
      </c>
      <c r="J21" s="22" t="s">
        <v>70</v>
      </c>
      <c r="K21" s="22">
        <v>0.20436773511799999</v>
      </c>
      <c r="L21" s="22">
        <v>-0.4510158013544</v>
      </c>
      <c r="M21" s="22">
        <v>15.56</v>
      </c>
      <c r="N21" s="22" t="s">
        <v>69</v>
      </c>
      <c r="O21" s="22">
        <v>15.56</v>
      </c>
      <c r="P21" s="22" t="s">
        <v>69</v>
      </c>
      <c r="Q21" s="22" t="s">
        <v>70</v>
      </c>
      <c r="R21" s="22">
        <v>2.9009999999999998</v>
      </c>
      <c r="S21" s="22">
        <v>-0.999</v>
      </c>
      <c r="T21" s="22">
        <v>-64.027333333333388</v>
      </c>
      <c r="U21" s="9"/>
    </row>
    <row r="22" spans="1:21" x14ac:dyDescent="0.2">
      <c r="A22" s="24" t="s">
        <v>323</v>
      </c>
      <c r="B22" s="76" t="s">
        <v>323</v>
      </c>
      <c r="C22" s="22">
        <v>16.41</v>
      </c>
      <c r="D22" s="76">
        <v>14.195</v>
      </c>
      <c r="E22" s="76">
        <v>2.2149999999999999</v>
      </c>
      <c r="F22" s="22">
        <v>0.94820231566117996</v>
      </c>
      <c r="G22" s="22" t="s">
        <v>69</v>
      </c>
      <c r="H22" s="22">
        <v>0.94820231566117996</v>
      </c>
      <c r="I22" s="22" t="s">
        <v>69</v>
      </c>
      <c r="J22" s="22" t="s">
        <v>70</v>
      </c>
      <c r="K22" s="22">
        <v>0.20436773511799999</v>
      </c>
      <c r="L22" s="22">
        <v>-0.4510158013544</v>
      </c>
      <c r="M22" s="76">
        <v>15.56</v>
      </c>
      <c r="N22" s="76" t="s">
        <v>69</v>
      </c>
      <c r="O22" s="22">
        <v>15.56</v>
      </c>
      <c r="P22" s="76" t="s">
        <v>69</v>
      </c>
      <c r="Q22" s="76" t="s">
        <v>70</v>
      </c>
      <c r="R22" s="76">
        <v>2.9009999999999998</v>
      </c>
      <c r="S22" s="76">
        <v>-0.999</v>
      </c>
      <c r="T22" s="22">
        <v>-64.027333333333388</v>
      </c>
      <c r="U22" s="9"/>
    </row>
    <row r="23" spans="1:21" x14ac:dyDescent="0.2">
      <c r="A23" s="23" t="s">
        <v>324</v>
      </c>
      <c r="B23" s="21"/>
      <c r="C23" s="22">
        <v>0.60699999999999998</v>
      </c>
      <c r="D23" s="22">
        <v>0.60699999999999998</v>
      </c>
      <c r="E23" s="22" t="s">
        <v>84</v>
      </c>
      <c r="F23" s="22">
        <v>1.39044481054366</v>
      </c>
      <c r="G23" s="22" t="s">
        <v>69</v>
      </c>
      <c r="H23" s="22">
        <v>1.39044481054366</v>
      </c>
      <c r="I23" s="22" t="s">
        <v>69</v>
      </c>
      <c r="J23" s="22" t="s">
        <v>69</v>
      </c>
      <c r="K23" s="22" t="s">
        <v>69</v>
      </c>
      <c r="L23" s="22" t="s">
        <v>69</v>
      </c>
      <c r="M23" s="22">
        <v>0.84399999999999997</v>
      </c>
      <c r="N23" s="22" t="s">
        <v>69</v>
      </c>
      <c r="O23" s="22">
        <v>0.84399999999999997</v>
      </c>
      <c r="P23" s="22" t="s">
        <v>69</v>
      </c>
      <c r="Q23" s="22" t="s">
        <v>69</v>
      </c>
      <c r="R23" s="22" t="s">
        <v>69</v>
      </c>
      <c r="S23" s="22" t="s">
        <v>69</v>
      </c>
      <c r="T23" s="22">
        <v>-3.09466666666667</v>
      </c>
      <c r="U23" s="9"/>
    </row>
    <row r="24" spans="1:21" x14ac:dyDescent="0.2">
      <c r="A24" s="24" t="s">
        <v>325</v>
      </c>
      <c r="B24" s="76" t="s">
        <v>325</v>
      </c>
      <c r="C24" s="22">
        <v>0.60699999999999998</v>
      </c>
      <c r="D24" s="76">
        <v>0.60699999999999998</v>
      </c>
      <c r="E24" s="76" t="s">
        <v>84</v>
      </c>
      <c r="F24" s="22">
        <v>1.39044481054366</v>
      </c>
      <c r="G24" s="22" t="s">
        <v>69</v>
      </c>
      <c r="H24" s="22">
        <v>1.39044481054366</v>
      </c>
      <c r="I24" s="22" t="s">
        <v>69</v>
      </c>
      <c r="J24" s="22" t="s">
        <v>69</v>
      </c>
      <c r="K24" s="22" t="s">
        <v>69</v>
      </c>
      <c r="L24" s="22" t="s">
        <v>69</v>
      </c>
      <c r="M24" s="76">
        <v>0.84399999999999997</v>
      </c>
      <c r="N24" s="76" t="s">
        <v>69</v>
      </c>
      <c r="O24" s="22">
        <v>0.84399999999999997</v>
      </c>
      <c r="P24" s="76" t="s">
        <v>69</v>
      </c>
      <c r="Q24" s="76" t="s">
        <v>69</v>
      </c>
      <c r="R24" s="76" t="s">
        <v>69</v>
      </c>
      <c r="S24" s="76" t="s">
        <v>69</v>
      </c>
      <c r="T24" s="22">
        <v>-3.09466666666667</v>
      </c>
      <c r="U24" s="9"/>
    </row>
    <row r="25" spans="1:21" ht="12" customHeight="1" x14ac:dyDescent="0.2">
      <c r="A25" s="89" t="s">
        <v>86</v>
      </c>
      <c r="B25" s="13"/>
      <c r="C25" s="13"/>
      <c r="D25" s="13"/>
      <c r="E25" s="13"/>
      <c r="F25" s="13"/>
      <c r="G25" s="13"/>
      <c r="H25" s="13"/>
      <c r="I25" s="13"/>
      <c r="J25" s="13"/>
      <c r="K25" s="13"/>
      <c r="L25" s="13"/>
      <c r="M25" s="13"/>
      <c r="N25" s="13"/>
      <c r="O25" s="13"/>
      <c r="P25" s="13"/>
      <c r="Q25" s="13"/>
      <c r="R25" s="13"/>
      <c r="S25" s="13"/>
      <c r="T25" s="13"/>
      <c r="U25" s="9"/>
    </row>
    <row r="26" spans="1:21" ht="29.25" customHeight="1" x14ac:dyDescent="0.2">
      <c r="A26" s="259" t="s">
        <v>326</v>
      </c>
      <c r="B26" s="259"/>
      <c r="C26" s="259"/>
      <c r="D26" s="259"/>
      <c r="E26" s="259"/>
      <c r="F26" s="259"/>
      <c r="G26" s="259"/>
      <c r="H26" s="259"/>
      <c r="I26" s="259"/>
      <c r="J26" s="259"/>
      <c r="K26" s="259"/>
      <c r="L26" s="259"/>
      <c r="M26" s="259"/>
      <c r="N26" s="259"/>
      <c r="O26" s="259"/>
      <c r="P26" s="259"/>
      <c r="Q26" s="259"/>
      <c r="R26" s="259"/>
      <c r="S26" s="259"/>
      <c r="T26" s="259"/>
      <c r="U26" s="9"/>
    </row>
    <row r="27" spans="1:21" ht="15" customHeight="1" x14ac:dyDescent="0.2">
      <c r="A27" s="257" t="s">
        <v>327</v>
      </c>
      <c r="B27" s="257"/>
      <c r="C27" s="257"/>
      <c r="D27" s="257"/>
      <c r="E27" s="257"/>
      <c r="F27" s="257"/>
      <c r="G27" s="257"/>
      <c r="H27" s="257"/>
      <c r="I27" s="257"/>
      <c r="J27" s="257"/>
      <c r="K27" s="257"/>
      <c r="L27" s="257"/>
      <c r="M27" s="257"/>
      <c r="N27" s="257"/>
      <c r="O27" s="257"/>
      <c r="P27" s="257"/>
      <c r="Q27" s="257"/>
      <c r="R27" s="257"/>
      <c r="S27" s="257"/>
      <c r="T27" s="257"/>
      <c r="U27" s="9"/>
    </row>
    <row r="28" spans="1:21" ht="15" customHeight="1" x14ac:dyDescent="0.2">
      <c r="A28" s="257" t="s">
        <v>89</v>
      </c>
      <c r="B28" s="257"/>
      <c r="C28" s="257"/>
      <c r="D28" s="257"/>
      <c r="E28" s="257"/>
      <c r="F28" s="257"/>
      <c r="G28" s="257"/>
      <c r="H28" s="257"/>
      <c r="I28" s="257"/>
      <c r="J28" s="257"/>
      <c r="K28" s="257"/>
      <c r="L28" s="257"/>
      <c r="M28" s="257"/>
      <c r="N28" s="257"/>
      <c r="O28" s="257"/>
      <c r="P28" s="257"/>
      <c r="Q28" s="257"/>
      <c r="R28" s="257"/>
      <c r="S28" s="257"/>
      <c r="T28" s="257"/>
      <c r="U28" s="9"/>
    </row>
    <row r="29" spans="1:21" ht="15" customHeight="1" x14ac:dyDescent="0.2">
      <c r="A29" s="257" t="s">
        <v>328</v>
      </c>
      <c r="B29" s="257"/>
      <c r="C29" s="257"/>
      <c r="D29" s="257"/>
      <c r="E29" s="257"/>
      <c r="F29" s="257"/>
      <c r="G29" s="257"/>
      <c r="H29" s="257"/>
      <c r="I29" s="257"/>
      <c r="J29" s="257"/>
      <c r="K29" s="257"/>
      <c r="L29" s="257"/>
      <c r="M29" s="257"/>
      <c r="N29" s="257"/>
      <c r="O29" s="257"/>
      <c r="P29" s="257"/>
      <c r="Q29" s="257"/>
      <c r="R29" s="257"/>
      <c r="S29" s="257"/>
      <c r="T29" s="60"/>
      <c r="U29" s="9"/>
    </row>
    <row r="30" spans="1:21" ht="15" customHeight="1" x14ac:dyDescent="0.2">
      <c r="A30" s="258" t="s">
        <v>329</v>
      </c>
      <c r="B30" s="258"/>
      <c r="C30" s="258"/>
      <c r="D30" s="258"/>
      <c r="E30" s="258"/>
      <c r="F30" s="258"/>
      <c r="G30" s="258"/>
      <c r="H30" s="258"/>
      <c r="I30" s="258"/>
      <c r="J30" s="258"/>
      <c r="K30" s="258"/>
      <c r="L30" s="258"/>
      <c r="M30" s="258"/>
      <c r="N30" s="258"/>
      <c r="O30" s="258"/>
      <c r="P30" s="258"/>
      <c r="Q30" s="258"/>
      <c r="R30" s="258"/>
      <c r="S30" s="258"/>
      <c r="T30" s="258"/>
      <c r="U30" s="9"/>
    </row>
    <row r="31" spans="1:21" ht="15" customHeight="1" x14ac:dyDescent="0.2">
      <c r="A31" s="258" t="s">
        <v>330</v>
      </c>
      <c r="B31" s="258"/>
      <c r="C31" s="258"/>
      <c r="D31" s="258"/>
      <c r="E31" s="258"/>
      <c r="F31" s="258"/>
      <c r="G31" s="258"/>
      <c r="H31" s="258"/>
      <c r="I31" s="258"/>
      <c r="J31" s="258"/>
      <c r="K31" s="258"/>
      <c r="L31" s="258"/>
      <c r="M31" s="258"/>
      <c r="N31" s="258"/>
      <c r="O31" s="258"/>
      <c r="P31" s="258"/>
      <c r="Q31" s="258"/>
      <c r="R31" s="258"/>
      <c r="S31" s="258"/>
      <c r="T31" s="258"/>
      <c r="U31" s="9"/>
    </row>
    <row r="32" spans="1:21" ht="13.5" x14ac:dyDescent="0.2">
      <c r="A32" s="259" t="s">
        <v>331</v>
      </c>
      <c r="B32" s="259"/>
      <c r="C32" s="245"/>
      <c r="D32" s="245"/>
      <c r="E32" s="245"/>
      <c r="F32" s="245"/>
      <c r="G32" s="245"/>
      <c r="H32" s="245"/>
      <c r="I32" s="245"/>
      <c r="J32" s="245"/>
      <c r="K32" s="245"/>
      <c r="L32" s="245"/>
      <c r="M32" s="245"/>
      <c r="N32" s="245"/>
      <c r="O32" s="245"/>
      <c r="P32" s="245"/>
      <c r="Q32" s="245"/>
      <c r="R32" s="245"/>
      <c r="S32" s="245"/>
      <c r="T32" s="245"/>
      <c r="U32" s="9"/>
    </row>
    <row r="33" spans="1:21" ht="13.5" x14ac:dyDescent="0.2">
      <c r="A33" s="258" t="s">
        <v>332</v>
      </c>
      <c r="B33" s="258"/>
      <c r="C33" s="258"/>
      <c r="D33" s="258"/>
      <c r="E33" s="258"/>
      <c r="F33" s="258"/>
      <c r="G33" s="258"/>
      <c r="H33" s="258"/>
      <c r="I33" s="258"/>
      <c r="J33" s="258"/>
      <c r="K33" s="258"/>
      <c r="L33" s="258"/>
      <c r="M33" s="258"/>
      <c r="N33" s="258"/>
      <c r="O33" s="258"/>
      <c r="P33" s="258"/>
      <c r="Q33" s="258"/>
      <c r="R33" s="258"/>
      <c r="S33" s="258"/>
      <c r="T33" s="258"/>
      <c r="U33" s="9"/>
    </row>
    <row r="34" spans="1:21" x14ac:dyDescent="0.2">
      <c r="A34" s="9"/>
      <c r="B34" s="9"/>
      <c r="C34" s="13"/>
      <c r="D34" s="13"/>
      <c r="E34" s="13"/>
      <c r="F34" s="13"/>
      <c r="G34" s="13"/>
      <c r="H34" s="13"/>
      <c r="I34" s="13"/>
      <c r="J34" s="13"/>
      <c r="K34" s="13"/>
      <c r="L34" s="13"/>
      <c r="M34" s="13"/>
      <c r="N34" s="13"/>
      <c r="O34" s="13"/>
      <c r="P34" s="13"/>
      <c r="Q34" s="13"/>
      <c r="R34" s="13"/>
      <c r="S34" s="13"/>
      <c r="T34" s="13"/>
      <c r="U34" s="9"/>
    </row>
    <row r="35" spans="1:21" ht="15.75" customHeight="1" x14ac:dyDescent="0.2">
      <c r="A35" s="32" t="s">
        <v>97</v>
      </c>
      <c r="B35" s="90"/>
      <c r="C35" s="33"/>
      <c r="D35" s="33"/>
      <c r="E35" s="33"/>
      <c r="F35" s="33"/>
      <c r="G35" s="33"/>
      <c r="H35" s="33"/>
      <c r="I35" s="33"/>
      <c r="J35" s="33"/>
      <c r="K35" s="33"/>
      <c r="L35" s="33"/>
      <c r="M35" s="33"/>
      <c r="N35" s="33"/>
      <c r="O35" s="33"/>
      <c r="P35" s="33"/>
      <c r="Q35" s="33"/>
      <c r="R35" s="33"/>
      <c r="S35" s="33"/>
      <c r="T35" s="34"/>
      <c r="U35" s="9"/>
    </row>
    <row r="36" spans="1:21" ht="28.5" customHeight="1" x14ac:dyDescent="0.2">
      <c r="A36" s="251" t="s">
        <v>98</v>
      </c>
      <c r="B36" s="252"/>
      <c r="C36" s="253"/>
      <c r="D36" s="253"/>
      <c r="E36" s="253"/>
      <c r="F36" s="253"/>
      <c r="G36" s="253"/>
      <c r="H36" s="253"/>
      <c r="I36" s="253"/>
      <c r="J36" s="253"/>
      <c r="K36" s="253"/>
      <c r="L36" s="253"/>
      <c r="M36" s="253"/>
      <c r="N36" s="253"/>
      <c r="O36" s="253"/>
      <c r="P36" s="253"/>
      <c r="Q36" s="253"/>
      <c r="R36" s="253"/>
      <c r="S36" s="253"/>
      <c r="T36" s="254"/>
      <c r="U36" s="9"/>
    </row>
    <row r="37" spans="1:21" ht="12" customHeight="1" x14ac:dyDescent="0.2">
      <c r="A37" s="77" t="s">
        <v>99</v>
      </c>
      <c r="B37" s="255" t="s">
        <v>67</v>
      </c>
      <c r="C37" s="256"/>
      <c r="D37" s="256"/>
      <c r="E37" s="256"/>
      <c r="F37" s="256"/>
      <c r="G37" s="256"/>
      <c r="H37" s="256"/>
      <c r="I37" s="256"/>
      <c r="J37" s="256"/>
      <c r="K37" s="256"/>
      <c r="L37" s="256"/>
      <c r="M37" s="256"/>
      <c r="N37" s="256"/>
      <c r="O37" s="256"/>
      <c r="P37" s="256"/>
      <c r="Q37" s="256"/>
      <c r="R37" s="256"/>
      <c r="S37" s="256"/>
      <c r="T37" s="256"/>
      <c r="U37" s="9"/>
    </row>
    <row r="38" spans="1:21" ht="12" customHeight="1" x14ac:dyDescent="0.2">
      <c r="A38" s="77" t="s">
        <v>99</v>
      </c>
      <c r="B38" s="255" t="s">
        <v>67</v>
      </c>
      <c r="C38" s="256"/>
      <c r="D38" s="256"/>
      <c r="E38" s="256"/>
      <c r="F38" s="256"/>
      <c r="G38" s="256"/>
      <c r="H38" s="256"/>
      <c r="I38" s="256"/>
      <c r="J38" s="256"/>
      <c r="K38" s="256"/>
      <c r="L38" s="256"/>
      <c r="M38" s="256"/>
      <c r="N38" s="256"/>
      <c r="O38" s="256"/>
      <c r="P38" s="256"/>
      <c r="Q38" s="256"/>
      <c r="R38" s="256"/>
      <c r="S38" s="256"/>
      <c r="T38" s="256"/>
    </row>
  </sheetData>
  <mergeCells count="31">
    <mergeCell ref="A5:B5"/>
    <mergeCell ref="C5:E5"/>
    <mergeCell ref="F5:L5"/>
    <mergeCell ref="M5:S5"/>
    <mergeCell ref="T5:T8"/>
    <mergeCell ref="A6:A9"/>
    <mergeCell ref="B6:B9"/>
    <mergeCell ref="C6:C9"/>
    <mergeCell ref="D6:D9"/>
    <mergeCell ref="E6:E9"/>
    <mergeCell ref="A27:T27"/>
    <mergeCell ref="F6:H7"/>
    <mergeCell ref="I6:I8"/>
    <mergeCell ref="J6:J8"/>
    <mergeCell ref="K6:L7"/>
    <mergeCell ref="M6:O7"/>
    <mergeCell ref="P6:P8"/>
    <mergeCell ref="Q6:Q8"/>
    <mergeCell ref="R6:S7"/>
    <mergeCell ref="F9:L9"/>
    <mergeCell ref="M9:S9"/>
    <mergeCell ref="A26:T26"/>
    <mergeCell ref="A36:T36"/>
    <mergeCell ref="B37:T37"/>
    <mergeCell ref="B38:T38"/>
    <mergeCell ref="A28:T28"/>
    <mergeCell ref="A29:S29"/>
    <mergeCell ref="A30:T30"/>
    <mergeCell ref="A31:T31"/>
    <mergeCell ref="A32:T32"/>
    <mergeCell ref="A33:T33"/>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5"/>
  <sheetViews>
    <sheetView workbookViewId="0">
      <selection activeCell="D20" sqref="D20"/>
    </sheetView>
  </sheetViews>
  <sheetFormatPr defaultColWidth="9.140625" defaultRowHeight="12" x14ac:dyDescent="0.2"/>
  <cols>
    <col min="1" max="1" width="46.42578125" style="126" customWidth="1"/>
    <col min="2" max="2" width="13.85546875" style="126" customWidth="1"/>
    <col min="3" max="3" width="20" style="126" customWidth="1"/>
    <col min="4" max="6" width="16.85546875" style="126" customWidth="1"/>
    <col min="7" max="9" width="17.5703125" style="126" customWidth="1"/>
    <col min="10" max="16384" width="9.140625" style="126"/>
  </cols>
  <sheetData>
    <row r="1" spans="1:10" ht="15.75" x14ac:dyDescent="0.25">
      <c r="A1" s="8" t="s">
        <v>418</v>
      </c>
      <c r="B1" s="37"/>
      <c r="C1" s="37"/>
      <c r="D1" s="9"/>
      <c r="E1" s="9"/>
      <c r="F1" s="9"/>
      <c r="G1" s="9"/>
      <c r="H1" s="9"/>
      <c r="I1" s="10" t="s">
        <v>36</v>
      </c>
      <c r="J1" s="125"/>
    </row>
    <row r="2" spans="1:10" ht="15.75" x14ac:dyDescent="0.25">
      <c r="A2" s="289" t="s">
        <v>419</v>
      </c>
      <c r="B2" s="289"/>
      <c r="C2" s="289"/>
      <c r="D2" s="127"/>
      <c r="E2" s="9"/>
      <c r="F2" s="9"/>
      <c r="G2" s="9"/>
      <c r="H2" s="9"/>
      <c r="I2" s="10" t="s">
        <v>38</v>
      </c>
      <c r="J2" s="125"/>
    </row>
    <row r="3" spans="1:10" ht="15.75" x14ac:dyDescent="0.25">
      <c r="A3" s="8" t="s">
        <v>39</v>
      </c>
      <c r="B3" s="37"/>
      <c r="C3" s="37"/>
      <c r="D3" s="9"/>
      <c r="E3" s="9"/>
      <c r="F3" s="9"/>
      <c r="G3" s="9"/>
      <c r="H3" s="9"/>
      <c r="I3" s="10" t="s">
        <v>41</v>
      </c>
      <c r="J3" s="125"/>
    </row>
    <row r="4" spans="1:10" x14ac:dyDescent="0.2">
      <c r="A4" s="9"/>
      <c r="B4" s="9"/>
      <c r="C4" s="9"/>
      <c r="D4" s="9"/>
      <c r="E4" s="9"/>
      <c r="F4" s="9"/>
      <c r="G4" s="9"/>
      <c r="H4" s="9"/>
      <c r="I4" s="9"/>
      <c r="J4" s="125"/>
    </row>
    <row r="5" spans="1:10" ht="15" customHeight="1" x14ac:dyDescent="0.2">
      <c r="A5" s="128" t="s">
        <v>42</v>
      </c>
      <c r="B5" s="261" t="s">
        <v>420</v>
      </c>
      <c r="C5" s="80" t="s">
        <v>43</v>
      </c>
      <c r="D5" s="261" t="s">
        <v>421</v>
      </c>
      <c r="E5" s="261"/>
      <c r="F5" s="261"/>
      <c r="G5" s="260" t="s">
        <v>104</v>
      </c>
      <c r="H5" s="261"/>
      <c r="I5" s="262"/>
      <c r="J5" s="125"/>
    </row>
    <row r="6" spans="1:10" ht="15" x14ac:dyDescent="0.25">
      <c r="A6" s="277" t="s">
        <v>422</v>
      </c>
      <c r="B6" s="290"/>
      <c r="C6" s="129" t="s">
        <v>423</v>
      </c>
      <c r="D6" s="130" t="s">
        <v>424</v>
      </c>
      <c r="E6" s="130" t="s">
        <v>425</v>
      </c>
      <c r="F6" s="129" t="s">
        <v>426</v>
      </c>
      <c r="G6" s="131" t="s">
        <v>427</v>
      </c>
      <c r="H6" s="131" t="s">
        <v>107</v>
      </c>
      <c r="I6" s="131" t="s">
        <v>428</v>
      </c>
      <c r="J6" s="125"/>
    </row>
    <row r="7" spans="1:10" ht="14.25" thickBot="1" x14ac:dyDescent="0.3">
      <c r="A7" s="279"/>
      <c r="B7" s="291"/>
      <c r="C7" s="132" t="s">
        <v>355</v>
      </c>
      <c r="D7" s="132" t="s">
        <v>429</v>
      </c>
      <c r="E7" s="133" t="s">
        <v>380</v>
      </c>
      <c r="F7" s="134" t="s">
        <v>430</v>
      </c>
      <c r="G7" s="292" t="s">
        <v>65</v>
      </c>
      <c r="H7" s="293"/>
      <c r="I7" s="294"/>
      <c r="J7" s="125"/>
    </row>
    <row r="8" spans="1:10" ht="12" customHeight="1" thickTop="1" x14ac:dyDescent="0.2">
      <c r="A8" s="82" t="s">
        <v>431</v>
      </c>
      <c r="B8" s="135" t="s">
        <v>67</v>
      </c>
      <c r="C8" s="135" t="s">
        <v>67</v>
      </c>
      <c r="D8" s="135" t="s">
        <v>67</v>
      </c>
      <c r="E8" s="135" t="s">
        <v>67</v>
      </c>
      <c r="F8" s="135" t="s">
        <v>67</v>
      </c>
      <c r="G8" s="105" t="s">
        <v>432</v>
      </c>
      <c r="H8" s="105">
        <v>6.5568660000000003</v>
      </c>
      <c r="I8" s="105">
        <v>30.613394</v>
      </c>
      <c r="J8" s="125"/>
    </row>
    <row r="9" spans="1:10" ht="12" customHeight="1" x14ac:dyDescent="0.2">
      <c r="A9" s="114" t="s">
        <v>433</v>
      </c>
      <c r="B9" s="135" t="s">
        <v>67</v>
      </c>
      <c r="C9" s="135" t="s">
        <v>67</v>
      </c>
      <c r="D9" s="135" t="s">
        <v>67</v>
      </c>
      <c r="E9" s="135" t="s">
        <v>67</v>
      </c>
      <c r="F9" s="135" t="s">
        <v>67</v>
      </c>
      <c r="G9" s="105" t="s">
        <v>311</v>
      </c>
      <c r="H9" s="105">
        <v>6.22</v>
      </c>
      <c r="I9" s="105">
        <v>27.672000000000001</v>
      </c>
      <c r="J9" s="125"/>
    </row>
    <row r="10" spans="1:10" ht="12" customHeight="1" x14ac:dyDescent="0.2">
      <c r="A10" s="136" t="s">
        <v>434</v>
      </c>
      <c r="B10" s="135"/>
      <c r="C10" s="105">
        <v>4310.5320000000002</v>
      </c>
      <c r="D10" s="105" t="s">
        <v>311</v>
      </c>
      <c r="E10" s="105">
        <v>0.91825830736944003</v>
      </c>
      <c r="F10" s="105">
        <v>6.4196252341938296</v>
      </c>
      <c r="G10" s="105" t="s">
        <v>311</v>
      </c>
      <c r="H10" s="105">
        <v>6.22</v>
      </c>
      <c r="I10" s="105">
        <v>27.672000000000001</v>
      </c>
      <c r="J10" s="125"/>
    </row>
    <row r="11" spans="1:10" ht="12" customHeight="1" x14ac:dyDescent="0.2">
      <c r="A11" s="137" t="s">
        <v>435</v>
      </c>
      <c r="B11" s="135"/>
      <c r="C11" s="105">
        <v>4310.5320000000002</v>
      </c>
      <c r="D11" s="105" t="s">
        <v>70</v>
      </c>
      <c r="E11" s="105">
        <v>0.91825830736944003</v>
      </c>
      <c r="F11" s="105">
        <v>6.4196252341938296</v>
      </c>
      <c r="G11" s="105" t="s">
        <v>70</v>
      </c>
      <c r="H11" s="105">
        <v>6.22</v>
      </c>
      <c r="I11" s="105">
        <v>27.672000000000001</v>
      </c>
      <c r="J11" s="125"/>
    </row>
    <row r="12" spans="1:10" ht="12" customHeight="1" x14ac:dyDescent="0.2">
      <c r="A12" s="137" t="s">
        <v>436</v>
      </c>
      <c r="B12" s="135"/>
      <c r="C12" s="105" t="s">
        <v>69</v>
      </c>
      <c r="D12" s="105" t="s">
        <v>69</v>
      </c>
      <c r="E12" s="105" t="s">
        <v>69</v>
      </c>
      <c r="F12" s="105" t="s">
        <v>69</v>
      </c>
      <c r="G12" s="105" t="s">
        <v>69</v>
      </c>
      <c r="H12" s="105" t="s">
        <v>69</v>
      </c>
      <c r="I12" s="105" t="s">
        <v>69</v>
      </c>
      <c r="J12" s="125"/>
    </row>
    <row r="13" spans="1:10" ht="12" customHeight="1" x14ac:dyDescent="0.2">
      <c r="A13" s="138" t="s">
        <v>437</v>
      </c>
      <c r="B13" s="135"/>
      <c r="C13" s="105" t="s">
        <v>69</v>
      </c>
      <c r="D13" s="105" t="s">
        <v>69</v>
      </c>
      <c r="E13" s="105" t="s">
        <v>69</v>
      </c>
      <c r="F13" s="105" t="s">
        <v>69</v>
      </c>
      <c r="G13" s="105" t="s">
        <v>69</v>
      </c>
      <c r="H13" s="105" t="s">
        <v>69</v>
      </c>
      <c r="I13" s="105" t="s">
        <v>69</v>
      </c>
      <c r="J13" s="125"/>
    </row>
    <row r="14" spans="1:10" ht="12" customHeight="1" x14ac:dyDescent="0.2">
      <c r="A14" s="136" t="s">
        <v>438</v>
      </c>
      <c r="B14" s="135"/>
      <c r="C14" s="105" t="s">
        <v>69</v>
      </c>
      <c r="D14" s="105" t="s">
        <v>69</v>
      </c>
      <c r="E14" s="105" t="s">
        <v>69</v>
      </c>
      <c r="F14" s="105" t="s">
        <v>69</v>
      </c>
      <c r="G14" s="105" t="s">
        <v>69</v>
      </c>
      <c r="H14" s="105" t="s">
        <v>69</v>
      </c>
      <c r="I14" s="105" t="s">
        <v>69</v>
      </c>
      <c r="J14" s="125"/>
    </row>
    <row r="15" spans="1:10" ht="12" customHeight="1" x14ac:dyDescent="0.2">
      <c r="A15" s="138" t="s">
        <v>439</v>
      </c>
      <c r="B15" s="135"/>
      <c r="C15" s="105" t="s">
        <v>69</v>
      </c>
      <c r="D15" s="105" t="s">
        <v>69</v>
      </c>
      <c r="E15" s="105" t="s">
        <v>69</v>
      </c>
      <c r="F15" s="105" t="s">
        <v>69</v>
      </c>
      <c r="G15" s="105" t="s">
        <v>69</v>
      </c>
      <c r="H15" s="105" t="s">
        <v>69</v>
      </c>
      <c r="I15" s="105" t="s">
        <v>69</v>
      </c>
      <c r="J15" s="125"/>
    </row>
    <row r="16" spans="1:10" ht="12" customHeight="1" x14ac:dyDescent="0.2">
      <c r="A16" s="138" t="s">
        <v>437</v>
      </c>
      <c r="B16" s="135"/>
      <c r="C16" s="105" t="s">
        <v>69</v>
      </c>
      <c r="D16" s="105" t="s">
        <v>69</v>
      </c>
      <c r="E16" s="105" t="s">
        <v>69</v>
      </c>
      <c r="F16" s="105" t="s">
        <v>69</v>
      </c>
      <c r="G16" s="105" t="s">
        <v>69</v>
      </c>
      <c r="H16" s="105" t="s">
        <v>69</v>
      </c>
      <c r="I16" s="105" t="s">
        <v>69</v>
      </c>
      <c r="J16" s="125"/>
    </row>
    <row r="17" spans="1:10" ht="12" customHeight="1" x14ac:dyDescent="0.2">
      <c r="A17" s="114" t="s">
        <v>440</v>
      </c>
      <c r="B17" s="135" t="s">
        <v>67</v>
      </c>
      <c r="C17" s="135" t="s">
        <v>67</v>
      </c>
      <c r="D17" s="135" t="s">
        <v>67</v>
      </c>
      <c r="E17" s="135" t="s">
        <v>67</v>
      </c>
      <c r="F17" s="135" t="s">
        <v>67</v>
      </c>
      <c r="G17" s="105" t="s">
        <v>311</v>
      </c>
      <c r="H17" s="105" t="s">
        <v>69</v>
      </c>
      <c r="I17" s="105" t="s">
        <v>69</v>
      </c>
      <c r="J17" s="125"/>
    </row>
    <row r="18" spans="1:10" ht="12" customHeight="1" x14ac:dyDescent="0.2">
      <c r="A18" s="136" t="s">
        <v>434</v>
      </c>
      <c r="B18" s="135"/>
      <c r="C18" s="105" t="s">
        <v>311</v>
      </c>
      <c r="D18" s="105" t="s">
        <v>311</v>
      </c>
      <c r="E18" s="135" t="s">
        <v>67</v>
      </c>
      <c r="F18" s="105" t="s">
        <v>69</v>
      </c>
      <c r="G18" s="105" t="s">
        <v>311</v>
      </c>
      <c r="H18" s="135" t="s">
        <v>67</v>
      </c>
      <c r="I18" s="105" t="s">
        <v>69</v>
      </c>
      <c r="J18" s="125"/>
    </row>
    <row r="19" spans="1:10" ht="12" customHeight="1" x14ac:dyDescent="0.2">
      <c r="A19" s="137" t="s">
        <v>435</v>
      </c>
      <c r="B19" s="135"/>
      <c r="C19" s="105" t="s">
        <v>70</v>
      </c>
      <c r="D19" s="105" t="s">
        <v>70</v>
      </c>
      <c r="E19" s="135" t="s">
        <v>67</v>
      </c>
      <c r="F19" s="105" t="s">
        <v>69</v>
      </c>
      <c r="G19" s="105" t="s">
        <v>70</v>
      </c>
      <c r="H19" s="135" t="s">
        <v>67</v>
      </c>
      <c r="I19" s="105" t="s">
        <v>69</v>
      </c>
      <c r="J19" s="125"/>
    </row>
    <row r="20" spans="1:10" ht="12" customHeight="1" x14ac:dyDescent="0.2">
      <c r="A20" s="137" t="s">
        <v>436</v>
      </c>
      <c r="B20" s="135"/>
      <c r="C20" s="105" t="s">
        <v>69</v>
      </c>
      <c r="D20" s="105" t="s">
        <v>69</v>
      </c>
      <c r="E20" s="135" t="s">
        <v>67</v>
      </c>
      <c r="F20" s="105" t="s">
        <v>69</v>
      </c>
      <c r="G20" s="105" t="s">
        <v>69</v>
      </c>
      <c r="H20" s="135" t="s">
        <v>67</v>
      </c>
      <c r="I20" s="105" t="s">
        <v>69</v>
      </c>
      <c r="J20" s="125"/>
    </row>
    <row r="21" spans="1:10" ht="12" customHeight="1" x14ac:dyDescent="0.2">
      <c r="A21" s="138" t="s">
        <v>437</v>
      </c>
      <c r="B21" s="135"/>
      <c r="C21" s="105" t="s">
        <v>69</v>
      </c>
      <c r="D21" s="105" t="s">
        <v>69</v>
      </c>
      <c r="E21" s="135" t="s">
        <v>67</v>
      </c>
      <c r="F21" s="105" t="s">
        <v>69</v>
      </c>
      <c r="G21" s="105" t="s">
        <v>69</v>
      </c>
      <c r="H21" s="135" t="s">
        <v>67</v>
      </c>
      <c r="I21" s="105" t="s">
        <v>69</v>
      </c>
      <c r="J21" s="125"/>
    </row>
    <row r="22" spans="1:10" ht="12" customHeight="1" x14ac:dyDescent="0.2">
      <c r="A22" s="136" t="s">
        <v>438</v>
      </c>
      <c r="B22" s="135"/>
      <c r="C22" s="105" t="s">
        <v>69</v>
      </c>
      <c r="D22" s="105" t="s">
        <v>69</v>
      </c>
      <c r="E22" s="105" t="s">
        <v>69</v>
      </c>
      <c r="F22" s="105" t="s">
        <v>69</v>
      </c>
      <c r="G22" s="105" t="s">
        <v>69</v>
      </c>
      <c r="H22" s="105" t="s">
        <v>69</v>
      </c>
      <c r="I22" s="105" t="s">
        <v>69</v>
      </c>
      <c r="J22" s="125"/>
    </row>
    <row r="23" spans="1:10" ht="12" customHeight="1" x14ac:dyDescent="0.2">
      <c r="A23" s="138" t="s">
        <v>439</v>
      </c>
      <c r="B23" s="135"/>
      <c r="C23" s="105" t="s">
        <v>69</v>
      </c>
      <c r="D23" s="105" t="s">
        <v>69</v>
      </c>
      <c r="E23" s="135" t="s">
        <v>67</v>
      </c>
      <c r="F23" s="105" t="s">
        <v>69</v>
      </c>
      <c r="G23" s="105" t="s">
        <v>69</v>
      </c>
      <c r="H23" s="135" t="s">
        <v>67</v>
      </c>
      <c r="I23" s="105" t="s">
        <v>69</v>
      </c>
      <c r="J23" s="125"/>
    </row>
    <row r="24" spans="1:10" ht="12" customHeight="1" x14ac:dyDescent="0.2">
      <c r="A24" s="138" t="s">
        <v>437</v>
      </c>
      <c r="B24" s="135"/>
      <c r="C24" s="105" t="s">
        <v>69</v>
      </c>
      <c r="D24" s="105" t="s">
        <v>69</v>
      </c>
      <c r="E24" s="105" t="s">
        <v>69</v>
      </c>
      <c r="F24" s="105" t="s">
        <v>69</v>
      </c>
      <c r="G24" s="105" t="s">
        <v>69</v>
      </c>
      <c r="H24" s="105" t="s">
        <v>69</v>
      </c>
      <c r="I24" s="105" t="s">
        <v>69</v>
      </c>
      <c r="J24" s="125"/>
    </row>
    <row r="25" spans="1:10" ht="12" customHeight="1" x14ac:dyDescent="0.2">
      <c r="A25" s="114" t="s">
        <v>441</v>
      </c>
      <c r="B25" s="135" t="s">
        <v>67</v>
      </c>
      <c r="C25" s="135" t="s">
        <v>67</v>
      </c>
      <c r="D25" s="135" t="s">
        <v>67</v>
      </c>
      <c r="E25" s="135" t="s">
        <v>67</v>
      </c>
      <c r="F25" s="135" t="s">
        <v>67</v>
      </c>
      <c r="G25" s="105" t="s">
        <v>311</v>
      </c>
      <c r="H25" s="105" t="s">
        <v>69</v>
      </c>
      <c r="I25" s="105" t="s">
        <v>442</v>
      </c>
      <c r="J25" s="125"/>
    </row>
    <row r="26" spans="1:10" ht="12" customHeight="1" x14ac:dyDescent="0.2">
      <c r="A26" s="136" t="s">
        <v>434</v>
      </c>
      <c r="B26" s="135"/>
      <c r="C26" s="105" t="s">
        <v>311</v>
      </c>
      <c r="D26" s="105" t="s">
        <v>311</v>
      </c>
      <c r="E26" s="135" t="s">
        <v>67</v>
      </c>
      <c r="F26" s="105" t="s">
        <v>442</v>
      </c>
      <c r="G26" s="105" t="s">
        <v>311</v>
      </c>
      <c r="H26" s="135" t="s">
        <v>67</v>
      </c>
      <c r="I26" s="105" t="s">
        <v>442</v>
      </c>
      <c r="J26" s="125"/>
    </row>
    <row r="27" spans="1:10" ht="12" customHeight="1" x14ac:dyDescent="0.2">
      <c r="A27" s="137" t="s">
        <v>435</v>
      </c>
      <c r="B27" s="135"/>
      <c r="C27" s="105" t="s">
        <v>70</v>
      </c>
      <c r="D27" s="105" t="s">
        <v>70</v>
      </c>
      <c r="E27" s="135" t="s">
        <v>67</v>
      </c>
      <c r="F27" s="105" t="s">
        <v>76</v>
      </c>
      <c r="G27" s="105" t="s">
        <v>70</v>
      </c>
      <c r="H27" s="135" t="s">
        <v>67</v>
      </c>
      <c r="I27" s="105" t="s">
        <v>76</v>
      </c>
      <c r="J27" s="125"/>
    </row>
    <row r="28" spans="1:10" ht="12" customHeight="1" x14ac:dyDescent="0.2">
      <c r="A28" s="137" t="s">
        <v>436</v>
      </c>
      <c r="B28" s="135"/>
      <c r="C28" s="105" t="s">
        <v>69</v>
      </c>
      <c r="D28" s="105" t="s">
        <v>69</v>
      </c>
      <c r="E28" s="135" t="s">
        <v>67</v>
      </c>
      <c r="F28" s="105" t="s">
        <v>69</v>
      </c>
      <c r="G28" s="105" t="s">
        <v>69</v>
      </c>
      <c r="H28" s="135" t="s">
        <v>67</v>
      </c>
      <c r="I28" s="105" t="s">
        <v>69</v>
      </c>
      <c r="J28" s="125"/>
    </row>
    <row r="29" spans="1:10" ht="12" customHeight="1" x14ac:dyDescent="0.2">
      <c r="A29" s="138" t="s">
        <v>437</v>
      </c>
      <c r="B29" s="135"/>
      <c r="C29" s="105" t="s">
        <v>69</v>
      </c>
      <c r="D29" s="105" t="s">
        <v>69</v>
      </c>
      <c r="E29" s="135" t="s">
        <v>67</v>
      </c>
      <c r="F29" s="105" t="s">
        <v>69</v>
      </c>
      <c r="G29" s="105" t="s">
        <v>69</v>
      </c>
      <c r="H29" s="135" t="s">
        <v>67</v>
      </c>
      <c r="I29" s="105" t="s">
        <v>69</v>
      </c>
      <c r="J29" s="125"/>
    </row>
    <row r="30" spans="1:10" ht="12" customHeight="1" x14ac:dyDescent="0.2">
      <c r="A30" s="136" t="s">
        <v>438</v>
      </c>
      <c r="B30" s="135"/>
      <c r="C30" s="105" t="s">
        <v>69</v>
      </c>
      <c r="D30" s="105" t="s">
        <v>69</v>
      </c>
      <c r="E30" s="105" t="s">
        <v>69</v>
      </c>
      <c r="F30" s="105" t="s">
        <v>69</v>
      </c>
      <c r="G30" s="105" t="s">
        <v>69</v>
      </c>
      <c r="H30" s="105" t="s">
        <v>69</v>
      </c>
      <c r="I30" s="105" t="s">
        <v>69</v>
      </c>
      <c r="J30" s="125"/>
    </row>
    <row r="31" spans="1:10" ht="12" customHeight="1" x14ac:dyDescent="0.2">
      <c r="A31" s="138" t="s">
        <v>439</v>
      </c>
      <c r="B31" s="135"/>
      <c r="C31" s="105" t="s">
        <v>69</v>
      </c>
      <c r="D31" s="105" t="s">
        <v>69</v>
      </c>
      <c r="E31" s="135" t="s">
        <v>67</v>
      </c>
      <c r="F31" s="105" t="s">
        <v>69</v>
      </c>
      <c r="G31" s="105" t="s">
        <v>69</v>
      </c>
      <c r="H31" s="135" t="s">
        <v>67</v>
      </c>
      <c r="I31" s="105" t="s">
        <v>69</v>
      </c>
      <c r="J31" s="125"/>
    </row>
    <row r="32" spans="1:10" ht="12" customHeight="1" x14ac:dyDescent="0.2">
      <c r="A32" s="138" t="s">
        <v>437</v>
      </c>
      <c r="B32" s="135"/>
      <c r="C32" s="105" t="s">
        <v>69</v>
      </c>
      <c r="D32" s="105" t="s">
        <v>69</v>
      </c>
      <c r="E32" s="105" t="s">
        <v>69</v>
      </c>
      <c r="F32" s="105" t="s">
        <v>69</v>
      </c>
      <c r="G32" s="105" t="s">
        <v>69</v>
      </c>
      <c r="H32" s="105" t="s">
        <v>69</v>
      </c>
      <c r="I32" s="105" t="s">
        <v>69</v>
      </c>
      <c r="J32" s="125"/>
    </row>
    <row r="33" spans="1:10" ht="12" customHeight="1" x14ac:dyDescent="0.2">
      <c r="A33" s="114" t="s">
        <v>443</v>
      </c>
      <c r="B33" s="135" t="s">
        <v>67</v>
      </c>
      <c r="C33" s="135" t="s">
        <v>67</v>
      </c>
      <c r="D33" s="135" t="s">
        <v>67</v>
      </c>
      <c r="E33" s="135" t="s">
        <v>67</v>
      </c>
      <c r="F33" s="135" t="s">
        <v>67</v>
      </c>
      <c r="G33" s="105" t="s">
        <v>432</v>
      </c>
      <c r="H33" s="105">
        <v>0.336866</v>
      </c>
      <c r="I33" s="105">
        <v>2.9413939999999998</v>
      </c>
      <c r="J33" s="125"/>
    </row>
    <row r="34" spans="1:10" ht="12" customHeight="1" x14ac:dyDescent="0.2">
      <c r="A34" s="115" t="s">
        <v>444</v>
      </c>
      <c r="B34" s="135" t="s">
        <v>67</v>
      </c>
      <c r="C34" s="135" t="s">
        <v>67</v>
      </c>
      <c r="D34" s="135" t="s">
        <v>67</v>
      </c>
      <c r="E34" s="135" t="s">
        <v>67</v>
      </c>
      <c r="F34" s="135" t="s">
        <v>67</v>
      </c>
      <c r="G34" s="105" t="s">
        <v>432</v>
      </c>
      <c r="H34" s="105">
        <v>0.33</v>
      </c>
      <c r="I34" s="105">
        <v>2.3889</v>
      </c>
      <c r="J34" s="125"/>
    </row>
    <row r="35" spans="1:10" ht="12" customHeight="1" x14ac:dyDescent="0.2">
      <c r="A35" s="139" t="s">
        <v>434</v>
      </c>
      <c r="B35" s="135"/>
      <c r="C35" s="105">
        <v>114.262</v>
      </c>
      <c r="D35" s="105" t="s">
        <v>311</v>
      </c>
      <c r="E35" s="105">
        <v>1.8378813603822799</v>
      </c>
      <c r="F35" s="105">
        <v>20.9072132467487</v>
      </c>
      <c r="G35" s="105" t="s">
        <v>311</v>
      </c>
      <c r="H35" s="105">
        <v>0.33</v>
      </c>
      <c r="I35" s="105">
        <v>2.3889</v>
      </c>
      <c r="J35" s="125"/>
    </row>
    <row r="36" spans="1:10" ht="12" customHeight="1" x14ac:dyDescent="0.2">
      <c r="A36" s="140" t="s">
        <v>435</v>
      </c>
      <c r="B36" s="135"/>
      <c r="C36" s="105">
        <v>114.262</v>
      </c>
      <c r="D36" s="105" t="s">
        <v>70</v>
      </c>
      <c r="E36" s="105">
        <v>1.8378813603822799</v>
      </c>
      <c r="F36" s="105">
        <v>20.9072132467487</v>
      </c>
      <c r="G36" s="105" t="s">
        <v>70</v>
      </c>
      <c r="H36" s="105">
        <v>0.33</v>
      </c>
      <c r="I36" s="105">
        <v>2.3889</v>
      </c>
      <c r="J36" s="125"/>
    </row>
    <row r="37" spans="1:10" ht="12" customHeight="1" x14ac:dyDescent="0.2">
      <c r="A37" s="141" t="s">
        <v>445</v>
      </c>
      <c r="B37" s="104" t="s">
        <v>445</v>
      </c>
      <c r="C37" s="104">
        <v>114.262</v>
      </c>
      <c r="D37" s="105" t="s">
        <v>70</v>
      </c>
      <c r="E37" s="105">
        <v>1.8378813603822799</v>
      </c>
      <c r="F37" s="105">
        <v>20.9072132467487</v>
      </c>
      <c r="G37" s="104" t="s">
        <v>70</v>
      </c>
      <c r="H37" s="104">
        <v>0.33</v>
      </c>
      <c r="I37" s="104">
        <v>2.3889</v>
      </c>
      <c r="J37" s="125"/>
    </row>
    <row r="38" spans="1:10" ht="12" customHeight="1" x14ac:dyDescent="0.2">
      <c r="A38" s="140" t="s">
        <v>436</v>
      </c>
      <c r="B38" s="135"/>
      <c r="C38" s="105" t="s">
        <v>84</v>
      </c>
      <c r="D38" s="105" t="s">
        <v>69</v>
      </c>
      <c r="E38" s="105" t="s">
        <v>69</v>
      </c>
      <c r="F38" s="105" t="s">
        <v>69</v>
      </c>
      <c r="G38" s="105" t="s">
        <v>69</v>
      </c>
      <c r="H38" s="105" t="s">
        <v>69</v>
      </c>
      <c r="I38" s="105" t="s">
        <v>69</v>
      </c>
      <c r="J38" s="125"/>
    </row>
    <row r="39" spans="1:10" ht="12" customHeight="1" x14ac:dyDescent="0.2">
      <c r="A39" s="141" t="s">
        <v>446</v>
      </c>
      <c r="B39" s="104" t="s">
        <v>446</v>
      </c>
      <c r="C39" s="104" t="s">
        <v>84</v>
      </c>
      <c r="D39" s="105" t="s">
        <v>69</v>
      </c>
      <c r="E39" s="105" t="s">
        <v>69</v>
      </c>
      <c r="F39" s="105" t="s">
        <v>69</v>
      </c>
      <c r="G39" s="104" t="s">
        <v>69</v>
      </c>
      <c r="H39" s="104" t="s">
        <v>69</v>
      </c>
      <c r="I39" s="104" t="s">
        <v>69</v>
      </c>
      <c r="J39" s="125"/>
    </row>
    <row r="40" spans="1:10" ht="12" customHeight="1" x14ac:dyDescent="0.2">
      <c r="A40" s="142" t="s">
        <v>437</v>
      </c>
      <c r="B40" s="135"/>
      <c r="C40" s="105" t="s">
        <v>84</v>
      </c>
      <c r="D40" s="105" t="s">
        <v>69</v>
      </c>
      <c r="E40" s="105" t="s">
        <v>69</v>
      </c>
      <c r="F40" s="105" t="s">
        <v>69</v>
      </c>
      <c r="G40" s="105" t="s">
        <v>69</v>
      </c>
      <c r="H40" s="105" t="s">
        <v>69</v>
      </c>
      <c r="I40" s="105" t="s">
        <v>69</v>
      </c>
      <c r="J40" s="125"/>
    </row>
    <row r="41" spans="1:10" ht="12" customHeight="1" x14ac:dyDescent="0.2">
      <c r="A41" s="143" t="s">
        <v>447</v>
      </c>
      <c r="B41" s="105" t="s">
        <v>447</v>
      </c>
      <c r="C41" s="105" t="s">
        <v>84</v>
      </c>
      <c r="D41" s="105" t="s">
        <v>69</v>
      </c>
      <c r="E41" s="105" t="s">
        <v>69</v>
      </c>
      <c r="F41" s="105" t="s">
        <v>69</v>
      </c>
      <c r="G41" s="105" t="s">
        <v>69</v>
      </c>
      <c r="H41" s="105" t="s">
        <v>69</v>
      </c>
      <c r="I41" s="105" t="s">
        <v>69</v>
      </c>
      <c r="J41" s="125"/>
    </row>
    <row r="42" spans="1:10" ht="12" customHeight="1" x14ac:dyDescent="0.2">
      <c r="A42" s="139" t="s">
        <v>438</v>
      </c>
      <c r="B42" s="135"/>
      <c r="C42" s="105" t="s">
        <v>84</v>
      </c>
      <c r="D42" s="105" t="s">
        <v>84</v>
      </c>
      <c r="E42" s="105" t="s">
        <v>84</v>
      </c>
      <c r="F42" s="105" t="s">
        <v>84</v>
      </c>
      <c r="G42" s="105" t="s">
        <v>84</v>
      </c>
      <c r="H42" s="105" t="s">
        <v>84</v>
      </c>
      <c r="I42" s="105" t="s">
        <v>84</v>
      </c>
      <c r="J42" s="125"/>
    </row>
    <row r="43" spans="1:10" ht="12" customHeight="1" x14ac:dyDescent="0.2">
      <c r="A43" s="142" t="s">
        <v>439</v>
      </c>
      <c r="B43" s="135"/>
      <c r="C43" s="105" t="s">
        <v>84</v>
      </c>
      <c r="D43" s="105" t="s">
        <v>84</v>
      </c>
      <c r="E43" s="105" t="s">
        <v>84</v>
      </c>
      <c r="F43" s="105" t="s">
        <v>84</v>
      </c>
      <c r="G43" s="105" t="s">
        <v>84</v>
      </c>
      <c r="H43" s="105" t="s">
        <v>84</v>
      </c>
      <c r="I43" s="105" t="s">
        <v>84</v>
      </c>
      <c r="J43" s="125"/>
    </row>
    <row r="44" spans="1:10" ht="12" customHeight="1" x14ac:dyDescent="0.2">
      <c r="A44" s="141" t="s">
        <v>448</v>
      </c>
      <c r="B44" s="104" t="s">
        <v>448</v>
      </c>
      <c r="C44" s="104" t="s">
        <v>84</v>
      </c>
      <c r="D44" s="105" t="s">
        <v>84</v>
      </c>
      <c r="E44" s="105" t="s">
        <v>84</v>
      </c>
      <c r="F44" s="105" t="s">
        <v>84</v>
      </c>
      <c r="G44" s="104" t="s">
        <v>84</v>
      </c>
      <c r="H44" s="104" t="s">
        <v>84</v>
      </c>
      <c r="I44" s="104" t="s">
        <v>84</v>
      </c>
      <c r="J44" s="125"/>
    </row>
    <row r="45" spans="1:10" ht="12" customHeight="1" x14ac:dyDescent="0.2">
      <c r="A45" s="142" t="s">
        <v>437</v>
      </c>
      <c r="B45" s="135"/>
      <c r="C45" s="105" t="s">
        <v>84</v>
      </c>
      <c r="D45" s="105" t="s">
        <v>84</v>
      </c>
      <c r="E45" s="105" t="s">
        <v>84</v>
      </c>
      <c r="F45" s="105" t="s">
        <v>84</v>
      </c>
      <c r="G45" s="105" t="s">
        <v>84</v>
      </c>
      <c r="H45" s="105" t="s">
        <v>84</v>
      </c>
      <c r="I45" s="105" t="s">
        <v>84</v>
      </c>
      <c r="J45" s="125"/>
    </row>
    <row r="46" spans="1:10" ht="12" customHeight="1" x14ac:dyDescent="0.2">
      <c r="A46" s="143" t="s">
        <v>449</v>
      </c>
      <c r="B46" s="105" t="s">
        <v>449</v>
      </c>
      <c r="C46" s="105" t="s">
        <v>84</v>
      </c>
      <c r="D46" s="105" t="s">
        <v>84</v>
      </c>
      <c r="E46" s="105" t="s">
        <v>84</v>
      </c>
      <c r="F46" s="105" t="s">
        <v>84</v>
      </c>
      <c r="G46" s="105" t="s">
        <v>84</v>
      </c>
      <c r="H46" s="105" t="s">
        <v>84</v>
      </c>
      <c r="I46" s="105" t="s">
        <v>84</v>
      </c>
      <c r="J46" s="125"/>
    </row>
    <row r="47" spans="1:10" ht="12" customHeight="1" x14ac:dyDescent="0.2">
      <c r="A47" s="115" t="s">
        <v>450</v>
      </c>
      <c r="B47" s="135" t="s">
        <v>67</v>
      </c>
      <c r="C47" s="135" t="s">
        <v>67</v>
      </c>
      <c r="D47" s="135" t="s">
        <v>67</v>
      </c>
      <c r="E47" s="135" t="s">
        <v>67</v>
      </c>
      <c r="F47" s="135" t="s">
        <v>67</v>
      </c>
      <c r="G47" s="105" t="s">
        <v>311</v>
      </c>
      <c r="H47" s="105" t="s">
        <v>69</v>
      </c>
      <c r="I47" s="105">
        <v>0.22700000000000001</v>
      </c>
      <c r="J47" s="125"/>
    </row>
    <row r="48" spans="1:10" ht="12" customHeight="1" x14ac:dyDescent="0.2">
      <c r="A48" s="139" t="s">
        <v>434</v>
      </c>
      <c r="B48" s="135"/>
      <c r="C48" s="105">
        <v>14.641</v>
      </c>
      <c r="D48" s="105" t="s">
        <v>311</v>
      </c>
      <c r="E48" s="105" t="s">
        <v>69</v>
      </c>
      <c r="F48" s="105">
        <v>15.504405436787099</v>
      </c>
      <c r="G48" s="105" t="s">
        <v>311</v>
      </c>
      <c r="H48" s="105" t="s">
        <v>69</v>
      </c>
      <c r="I48" s="105">
        <v>0.22700000000000001</v>
      </c>
      <c r="J48" s="125"/>
    </row>
    <row r="49" spans="1:10" ht="12" customHeight="1" x14ac:dyDescent="0.2">
      <c r="A49" s="140" t="s">
        <v>435</v>
      </c>
      <c r="B49" s="135"/>
      <c r="C49" s="105" t="s">
        <v>84</v>
      </c>
      <c r="D49" s="105" t="s">
        <v>69</v>
      </c>
      <c r="E49" s="105" t="s">
        <v>69</v>
      </c>
      <c r="F49" s="105" t="s">
        <v>69</v>
      </c>
      <c r="G49" s="105" t="s">
        <v>69</v>
      </c>
      <c r="H49" s="105" t="s">
        <v>69</v>
      </c>
      <c r="I49" s="105" t="s">
        <v>69</v>
      </c>
      <c r="J49" s="125"/>
    </row>
    <row r="50" spans="1:10" ht="12" customHeight="1" x14ac:dyDescent="0.2">
      <c r="A50" s="141" t="s">
        <v>445</v>
      </c>
      <c r="B50" s="104" t="s">
        <v>445</v>
      </c>
      <c r="C50" s="104" t="s">
        <v>84</v>
      </c>
      <c r="D50" s="105" t="s">
        <v>69</v>
      </c>
      <c r="E50" s="105" t="s">
        <v>69</v>
      </c>
      <c r="F50" s="105" t="s">
        <v>69</v>
      </c>
      <c r="G50" s="104" t="s">
        <v>69</v>
      </c>
      <c r="H50" s="104" t="s">
        <v>69</v>
      </c>
      <c r="I50" s="104" t="s">
        <v>69</v>
      </c>
      <c r="J50" s="125"/>
    </row>
    <row r="51" spans="1:10" ht="12" customHeight="1" x14ac:dyDescent="0.2">
      <c r="A51" s="140" t="s">
        <v>436</v>
      </c>
      <c r="B51" s="135"/>
      <c r="C51" s="105" t="s">
        <v>84</v>
      </c>
      <c r="D51" s="105" t="s">
        <v>69</v>
      </c>
      <c r="E51" s="105" t="s">
        <v>69</v>
      </c>
      <c r="F51" s="105" t="s">
        <v>69</v>
      </c>
      <c r="G51" s="105" t="s">
        <v>69</v>
      </c>
      <c r="H51" s="105" t="s">
        <v>69</v>
      </c>
      <c r="I51" s="105" t="s">
        <v>69</v>
      </c>
      <c r="J51" s="125"/>
    </row>
    <row r="52" spans="1:10" ht="12" customHeight="1" x14ac:dyDescent="0.2">
      <c r="A52" s="141" t="s">
        <v>446</v>
      </c>
      <c r="B52" s="104" t="s">
        <v>446</v>
      </c>
      <c r="C52" s="104" t="s">
        <v>84</v>
      </c>
      <c r="D52" s="105" t="s">
        <v>69</v>
      </c>
      <c r="E52" s="105" t="s">
        <v>69</v>
      </c>
      <c r="F52" s="105" t="s">
        <v>69</v>
      </c>
      <c r="G52" s="104" t="s">
        <v>69</v>
      </c>
      <c r="H52" s="104" t="s">
        <v>69</v>
      </c>
      <c r="I52" s="104" t="s">
        <v>69</v>
      </c>
      <c r="J52" s="125"/>
    </row>
    <row r="53" spans="1:10" ht="12" customHeight="1" x14ac:dyDescent="0.2">
      <c r="A53" s="142" t="s">
        <v>437</v>
      </c>
      <c r="B53" s="135"/>
      <c r="C53" s="105">
        <v>14.641</v>
      </c>
      <c r="D53" s="105" t="s">
        <v>70</v>
      </c>
      <c r="E53" s="105" t="s">
        <v>69</v>
      </c>
      <c r="F53" s="105">
        <v>15.504405436787099</v>
      </c>
      <c r="G53" s="105" t="s">
        <v>70</v>
      </c>
      <c r="H53" s="105" t="s">
        <v>69</v>
      </c>
      <c r="I53" s="105">
        <v>0.22700000000000001</v>
      </c>
      <c r="J53" s="125"/>
    </row>
    <row r="54" spans="1:10" ht="12" customHeight="1" x14ac:dyDescent="0.2">
      <c r="A54" s="143" t="s">
        <v>447</v>
      </c>
      <c r="B54" s="105" t="s">
        <v>447</v>
      </c>
      <c r="C54" s="105">
        <v>14.641</v>
      </c>
      <c r="D54" s="105" t="s">
        <v>70</v>
      </c>
      <c r="E54" s="105" t="s">
        <v>69</v>
      </c>
      <c r="F54" s="105">
        <v>15.504405436787099</v>
      </c>
      <c r="G54" s="105" t="s">
        <v>70</v>
      </c>
      <c r="H54" s="105" t="s">
        <v>69</v>
      </c>
      <c r="I54" s="105">
        <v>0.22700000000000001</v>
      </c>
      <c r="J54" s="125"/>
    </row>
    <row r="55" spans="1:10" ht="12" customHeight="1" x14ac:dyDescent="0.2">
      <c r="A55" s="139" t="s">
        <v>438</v>
      </c>
      <c r="B55" s="135"/>
      <c r="C55" s="105" t="s">
        <v>84</v>
      </c>
      <c r="D55" s="105" t="s">
        <v>69</v>
      </c>
      <c r="E55" s="105" t="s">
        <v>69</v>
      </c>
      <c r="F55" s="105" t="s">
        <v>69</v>
      </c>
      <c r="G55" s="105" t="s">
        <v>69</v>
      </c>
      <c r="H55" s="105" t="s">
        <v>69</v>
      </c>
      <c r="I55" s="105" t="s">
        <v>69</v>
      </c>
      <c r="J55" s="125"/>
    </row>
    <row r="56" spans="1:10" ht="12" customHeight="1" x14ac:dyDescent="0.2">
      <c r="A56" s="142" t="s">
        <v>439</v>
      </c>
      <c r="B56" s="135"/>
      <c r="C56" s="105" t="s">
        <v>84</v>
      </c>
      <c r="D56" s="105" t="s">
        <v>69</v>
      </c>
      <c r="E56" s="105" t="s">
        <v>69</v>
      </c>
      <c r="F56" s="105" t="s">
        <v>69</v>
      </c>
      <c r="G56" s="105" t="s">
        <v>69</v>
      </c>
      <c r="H56" s="105" t="s">
        <v>69</v>
      </c>
      <c r="I56" s="105" t="s">
        <v>69</v>
      </c>
      <c r="J56" s="125"/>
    </row>
    <row r="57" spans="1:10" ht="12" customHeight="1" x14ac:dyDescent="0.2">
      <c r="A57" s="141" t="s">
        <v>448</v>
      </c>
      <c r="B57" s="104" t="s">
        <v>448</v>
      </c>
      <c r="C57" s="104" t="s">
        <v>84</v>
      </c>
      <c r="D57" s="105" t="s">
        <v>69</v>
      </c>
      <c r="E57" s="105" t="s">
        <v>69</v>
      </c>
      <c r="F57" s="105" t="s">
        <v>69</v>
      </c>
      <c r="G57" s="104" t="s">
        <v>69</v>
      </c>
      <c r="H57" s="104" t="s">
        <v>69</v>
      </c>
      <c r="I57" s="104" t="s">
        <v>69</v>
      </c>
      <c r="J57" s="125"/>
    </row>
    <row r="58" spans="1:10" ht="12" customHeight="1" x14ac:dyDescent="0.2">
      <c r="A58" s="142" t="s">
        <v>437</v>
      </c>
      <c r="B58" s="135"/>
      <c r="C58" s="105" t="s">
        <v>84</v>
      </c>
      <c r="D58" s="105" t="s">
        <v>69</v>
      </c>
      <c r="E58" s="105" t="s">
        <v>69</v>
      </c>
      <c r="F58" s="105" t="s">
        <v>69</v>
      </c>
      <c r="G58" s="105" t="s">
        <v>69</v>
      </c>
      <c r="H58" s="105" t="s">
        <v>69</v>
      </c>
      <c r="I58" s="105" t="s">
        <v>69</v>
      </c>
      <c r="J58" s="125"/>
    </row>
    <row r="59" spans="1:10" ht="12" customHeight="1" x14ac:dyDescent="0.2">
      <c r="A59" s="143" t="s">
        <v>449</v>
      </c>
      <c r="B59" s="105" t="s">
        <v>449</v>
      </c>
      <c r="C59" s="105" t="s">
        <v>84</v>
      </c>
      <c r="D59" s="105" t="s">
        <v>69</v>
      </c>
      <c r="E59" s="105" t="s">
        <v>69</v>
      </c>
      <c r="F59" s="105" t="s">
        <v>69</v>
      </c>
      <c r="G59" s="105" t="s">
        <v>69</v>
      </c>
      <c r="H59" s="105" t="s">
        <v>69</v>
      </c>
      <c r="I59" s="105" t="s">
        <v>69</v>
      </c>
      <c r="J59" s="125"/>
    </row>
    <row r="60" spans="1:10" ht="12" customHeight="1" x14ac:dyDescent="0.2">
      <c r="A60" s="115" t="s">
        <v>451</v>
      </c>
      <c r="B60" s="135"/>
      <c r="C60" s="135" t="s">
        <v>67</v>
      </c>
      <c r="D60" s="135" t="s">
        <v>67</v>
      </c>
      <c r="E60" s="135" t="s">
        <v>67</v>
      </c>
      <c r="F60" s="135" t="s">
        <v>67</v>
      </c>
      <c r="G60" s="105" t="s">
        <v>70</v>
      </c>
      <c r="H60" s="105">
        <v>6.8659999999999997E-3</v>
      </c>
      <c r="I60" s="105">
        <v>0.32549400000000001</v>
      </c>
      <c r="J60" s="125"/>
    </row>
    <row r="61" spans="1:10" ht="12" customHeight="1" x14ac:dyDescent="0.2">
      <c r="A61" s="114" t="s">
        <v>452</v>
      </c>
      <c r="B61" s="135"/>
      <c r="C61" s="135" t="s">
        <v>67</v>
      </c>
      <c r="D61" s="135" t="s">
        <v>67</v>
      </c>
      <c r="E61" s="135" t="s">
        <v>67</v>
      </c>
      <c r="F61" s="135" t="s">
        <v>67</v>
      </c>
      <c r="G61" s="105" t="s">
        <v>69</v>
      </c>
      <c r="H61" s="105" t="s">
        <v>69</v>
      </c>
      <c r="I61" s="105" t="s">
        <v>69</v>
      </c>
      <c r="J61" s="125"/>
    </row>
    <row r="62" spans="1:10" x14ac:dyDescent="0.2">
      <c r="A62" s="29" t="s">
        <v>86</v>
      </c>
      <c r="B62" s="30"/>
      <c r="C62" s="30"/>
      <c r="D62" s="30"/>
      <c r="E62" s="30"/>
      <c r="F62" s="30"/>
      <c r="G62" s="30"/>
      <c r="H62" s="30"/>
      <c r="I62" s="30"/>
      <c r="J62" s="125"/>
    </row>
    <row r="63" spans="1:10" ht="13.5" x14ac:dyDescent="0.2">
      <c r="A63" s="257" t="s">
        <v>453</v>
      </c>
      <c r="B63" s="257"/>
      <c r="C63" s="257"/>
      <c r="D63" s="257"/>
      <c r="E63" s="257"/>
      <c r="F63" s="30"/>
      <c r="G63" s="30"/>
      <c r="H63" s="30"/>
      <c r="I63" s="30"/>
      <c r="J63" s="125"/>
    </row>
    <row r="64" spans="1:10" ht="13.5" x14ac:dyDescent="0.2">
      <c r="A64" s="244" t="s">
        <v>454</v>
      </c>
      <c r="B64" s="244"/>
      <c r="C64" s="244"/>
      <c r="D64" s="244"/>
      <c r="E64" s="244"/>
      <c r="F64" s="244"/>
      <c r="G64" s="244"/>
      <c r="H64" s="244"/>
      <c r="I64" s="244"/>
      <c r="J64" s="125"/>
    </row>
    <row r="65" spans="1:10" ht="13.5" x14ac:dyDescent="0.2">
      <c r="A65" s="257" t="s">
        <v>455</v>
      </c>
      <c r="B65" s="257"/>
      <c r="C65" s="257"/>
      <c r="D65" s="144"/>
      <c r="E65" s="30"/>
      <c r="F65" s="30"/>
      <c r="G65" s="30"/>
      <c r="H65" s="30"/>
      <c r="I65" s="30"/>
      <c r="J65" s="125"/>
    </row>
    <row r="66" spans="1:10" x14ac:dyDescent="0.2">
      <c r="A66" s="259" t="s">
        <v>456</v>
      </c>
      <c r="B66" s="245"/>
      <c r="C66" s="245"/>
      <c r="D66" s="245"/>
      <c r="E66" s="245"/>
      <c r="F66" s="245"/>
      <c r="G66" s="245"/>
      <c r="H66" s="30"/>
      <c r="I66" s="30"/>
      <c r="J66" s="125"/>
    </row>
    <row r="67" spans="1:10" ht="13.5" x14ac:dyDescent="0.2">
      <c r="A67" s="257" t="s">
        <v>457</v>
      </c>
      <c r="B67" s="257"/>
      <c r="C67" s="257"/>
      <c r="D67" s="9"/>
      <c r="E67" s="9"/>
      <c r="F67" s="9"/>
      <c r="G67" s="9"/>
      <c r="H67" s="9"/>
      <c r="I67" s="9"/>
      <c r="J67" s="125"/>
    </row>
    <row r="68" spans="1:10" ht="14.25" x14ac:dyDescent="0.25">
      <c r="A68" s="9" t="s">
        <v>458</v>
      </c>
      <c r="B68" s="9"/>
      <c r="C68" s="9"/>
      <c r="D68" s="9"/>
      <c r="E68" s="9"/>
      <c r="F68" s="9"/>
      <c r="G68" s="9"/>
      <c r="H68" s="9"/>
      <c r="I68" s="9"/>
      <c r="J68" s="125"/>
    </row>
    <row r="69" spans="1:10" x14ac:dyDescent="0.2">
      <c r="A69" s="272" t="s">
        <v>97</v>
      </c>
      <c r="B69" s="285"/>
      <c r="C69" s="285"/>
      <c r="D69" s="90"/>
      <c r="E69" s="145"/>
      <c r="F69" s="145"/>
      <c r="G69" s="145"/>
      <c r="H69" s="145"/>
      <c r="I69" s="146"/>
      <c r="J69" s="9"/>
    </row>
    <row r="70" spans="1:10" ht="33" customHeight="1" x14ac:dyDescent="0.2">
      <c r="A70" s="286" t="s">
        <v>98</v>
      </c>
      <c r="B70" s="287"/>
      <c r="C70" s="287"/>
      <c r="D70" s="287"/>
      <c r="E70" s="287"/>
      <c r="F70" s="287"/>
      <c r="G70" s="287"/>
      <c r="H70" s="287"/>
      <c r="I70" s="288"/>
      <c r="J70" s="9"/>
    </row>
    <row r="71" spans="1:10" x14ac:dyDescent="0.2">
      <c r="A71" s="147" t="s">
        <v>99</v>
      </c>
      <c r="B71" s="283" t="s">
        <v>67</v>
      </c>
      <c r="C71" s="284"/>
      <c r="D71" s="284"/>
      <c r="E71" s="284"/>
      <c r="F71" s="284"/>
      <c r="G71" s="284"/>
      <c r="H71" s="284"/>
      <c r="I71" s="284"/>
      <c r="J71" s="9"/>
    </row>
    <row r="72" spans="1:10" x14ac:dyDescent="0.2">
      <c r="A72" s="147" t="s">
        <v>99</v>
      </c>
      <c r="B72" s="283" t="s">
        <v>67</v>
      </c>
      <c r="C72" s="284"/>
      <c r="D72" s="284"/>
      <c r="E72" s="284"/>
      <c r="F72" s="284"/>
      <c r="G72" s="284"/>
      <c r="H72" s="284"/>
      <c r="I72" s="284"/>
    </row>
    <row r="73" spans="1:10" x14ac:dyDescent="0.2">
      <c r="A73" s="147" t="s">
        <v>99</v>
      </c>
      <c r="B73" s="283" t="s">
        <v>67</v>
      </c>
      <c r="C73" s="284"/>
      <c r="D73" s="284"/>
      <c r="E73" s="284"/>
      <c r="F73" s="284"/>
      <c r="G73" s="284"/>
      <c r="H73" s="284"/>
      <c r="I73" s="284"/>
    </row>
    <row r="74" spans="1:10" x14ac:dyDescent="0.2">
      <c r="A74" s="147" t="s">
        <v>99</v>
      </c>
      <c r="B74" s="283" t="s">
        <v>67</v>
      </c>
      <c r="C74" s="284"/>
      <c r="D74" s="284"/>
      <c r="E74" s="284"/>
      <c r="F74" s="284"/>
      <c r="G74" s="284"/>
      <c r="H74" s="284"/>
      <c r="I74" s="284"/>
    </row>
    <row r="75" spans="1:10" x14ac:dyDescent="0.2">
      <c r="A75" s="147" t="s">
        <v>99</v>
      </c>
      <c r="B75" s="283" t="s">
        <v>67</v>
      </c>
      <c r="C75" s="284"/>
      <c r="D75" s="284"/>
      <c r="E75" s="284"/>
      <c r="F75" s="284"/>
      <c r="G75" s="284"/>
      <c r="H75" s="284"/>
      <c r="I75" s="284"/>
    </row>
  </sheetData>
  <mergeCells count="18">
    <mergeCell ref="A2:C2"/>
    <mergeCell ref="B5:B7"/>
    <mergeCell ref="D5:F5"/>
    <mergeCell ref="G5:I5"/>
    <mergeCell ref="A6:A7"/>
    <mergeCell ref="G7:I7"/>
    <mergeCell ref="B75:I75"/>
    <mergeCell ref="A63:E63"/>
    <mergeCell ref="A64:I64"/>
    <mergeCell ref="A65:C65"/>
    <mergeCell ref="A66:G66"/>
    <mergeCell ref="A67:C67"/>
    <mergeCell ref="A69:C69"/>
    <mergeCell ref="A70:I70"/>
    <mergeCell ref="B71:I71"/>
    <mergeCell ref="B72:I72"/>
    <mergeCell ref="B73:I73"/>
    <mergeCell ref="B74:I7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7"/>
  <sheetViews>
    <sheetView topLeftCell="A10" workbookViewId="0">
      <selection activeCell="B19" sqref="B19"/>
    </sheetView>
  </sheetViews>
  <sheetFormatPr defaultColWidth="8" defaultRowHeight="12" x14ac:dyDescent="0.2"/>
  <cols>
    <col min="1" max="1" width="65.85546875" style="11" customWidth="1"/>
    <col min="2" max="2" width="30.85546875" style="11" customWidth="1"/>
    <col min="3" max="3" width="33.140625" style="11" customWidth="1"/>
    <col min="4" max="4" width="30.85546875" style="11" customWidth="1"/>
    <col min="5" max="5" width="1.140625" style="11" customWidth="1"/>
    <col min="6" max="9" width="11" style="11" customWidth="1"/>
    <col min="10" max="16384" width="8" style="11"/>
  </cols>
  <sheetData>
    <row r="1" spans="1:7" ht="15.75" x14ac:dyDescent="0.25">
      <c r="A1" s="8" t="s">
        <v>372</v>
      </c>
      <c r="B1" s="37"/>
      <c r="C1" s="37"/>
      <c r="D1" s="10" t="s">
        <v>36</v>
      </c>
      <c r="E1" s="10"/>
      <c r="F1" s="10"/>
      <c r="G1" s="10"/>
    </row>
    <row r="2" spans="1:7" ht="15.75" x14ac:dyDescent="0.2">
      <c r="A2" s="299" t="s">
        <v>373</v>
      </c>
      <c r="B2" s="300"/>
      <c r="C2" s="300"/>
      <c r="D2" s="10" t="s">
        <v>38</v>
      </c>
      <c r="E2" s="10"/>
      <c r="F2" s="10"/>
      <c r="G2" s="10"/>
    </row>
    <row r="3" spans="1:7" ht="18.75" x14ac:dyDescent="0.2">
      <c r="A3" s="108" t="s">
        <v>374</v>
      </c>
      <c r="B3" s="109"/>
      <c r="C3" s="109"/>
      <c r="D3" s="110" t="s">
        <v>41</v>
      </c>
      <c r="E3" s="10"/>
      <c r="F3" s="10"/>
      <c r="G3" s="10"/>
    </row>
    <row r="4" spans="1:7" ht="15.75" x14ac:dyDescent="0.25">
      <c r="A4" s="111" t="s">
        <v>39</v>
      </c>
      <c r="B4" s="37"/>
      <c r="C4" s="37"/>
      <c r="D4" s="9"/>
      <c r="E4" s="10"/>
      <c r="F4" s="10"/>
      <c r="G4" s="10"/>
    </row>
    <row r="5" spans="1:7" x14ac:dyDescent="0.2">
      <c r="A5" s="9"/>
      <c r="B5" s="9"/>
      <c r="C5" s="9"/>
      <c r="D5" s="9"/>
      <c r="E5" s="9"/>
      <c r="F5" s="9"/>
      <c r="G5" s="9"/>
    </row>
    <row r="6" spans="1:7" x14ac:dyDescent="0.2">
      <c r="A6" s="32" t="s">
        <v>42</v>
      </c>
      <c r="B6" s="80" t="s">
        <v>43</v>
      </c>
      <c r="C6" s="80" t="s">
        <v>103</v>
      </c>
      <c r="D6" s="78" t="s">
        <v>375</v>
      </c>
      <c r="E6" s="9"/>
      <c r="F6" s="9"/>
      <c r="G6" s="9"/>
    </row>
    <row r="7" spans="1:7" ht="18" customHeight="1" x14ac:dyDescent="0.2">
      <c r="A7" s="301" t="s">
        <v>376</v>
      </c>
      <c r="B7" s="80" t="s">
        <v>377</v>
      </c>
      <c r="C7" s="80" t="s">
        <v>378</v>
      </c>
      <c r="D7" s="80" t="s">
        <v>107</v>
      </c>
      <c r="E7" s="9"/>
      <c r="F7" s="9"/>
      <c r="G7" s="9"/>
    </row>
    <row r="8" spans="1:7" ht="20.25" customHeight="1" thickBot="1" x14ac:dyDescent="0.25">
      <c r="A8" s="302"/>
      <c r="B8" s="83" t="s">
        <v>379</v>
      </c>
      <c r="C8" s="83" t="s">
        <v>380</v>
      </c>
      <c r="D8" s="112" t="s">
        <v>65</v>
      </c>
      <c r="E8" s="9"/>
      <c r="F8" s="9"/>
      <c r="G8" s="9"/>
    </row>
    <row r="9" spans="1:7" ht="12.75" thickTop="1" x14ac:dyDescent="0.2">
      <c r="A9" s="113" t="s">
        <v>381</v>
      </c>
      <c r="B9" s="105">
        <v>369.80500000000001</v>
      </c>
      <c r="C9" s="105">
        <v>0.16984381203362001</v>
      </c>
      <c r="D9" s="105">
        <v>9.8699999999999996E-2</v>
      </c>
      <c r="E9" s="9"/>
      <c r="F9" s="9"/>
      <c r="G9" s="9"/>
    </row>
    <row r="10" spans="1:7" x14ac:dyDescent="0.2">
      <c r="A10" s="114" t="s">
        <v>382</v>
      </c>
      <c r="B10" s="105">
        <v>52.671999999999997</v>
      </c>
      <c r="C10" s="105">
        <v>1.4497956478520001E-2</v>
      </c>
      <c r="D10" s="105">
        <v>1.1999999999999999E-3</v>
      </c>
      <c r="E10" s="9"/>
      <c r="F10" s="9"/>
      <c r="G10" s="9"/>
    </row>
    <row r="11" spans="1:7" x14ac:dyDescent="0.2">
      <c r="A11" s="115" t="s">
        <v>312</v>
      </c>
      <c r="B11" s="104" t="s">
        <v>69</v>
      </c>
      <c r="C11" s="105" t="s">
        <v>69</v>
      </c>
      <c r="D11" s="104" t="s">
        <v>69</v>
      </c>
      <c r="E11" s="9"/>
      <c r="F11" s="9"/>
      <c r="G11" s="9"/>
    </row>
    <row r="12" spans="1:7" ht="13.5" x14ac:dyDescent="0.2">
      <c r="A12" s="115" t="s">
        <v>383</v>
      </c>
      <c r="B12" s="105">
        <v>52.671999999999997</v>
      </c>
      <c r="C12" s="105">
        <v>1.4497956478520001E-2</v>
      </c>
      <c r="D12" s="105">
        <v>1.1999999999999999E-3</v>
      </c>
      <c r="E12" s="9"/>
      <c r="F12" s="9"/>
      <c r="G12" s="9"/>
    </row>
    <row r="13" spans="1:7" x14ac:dyDescent="0.2">
      <c r="A13" s="116" t="s">
        <v>384</v>
      </c>
      <c r="B13" s="104">
        <v>13.18</v>
      </c>
      <c r="C13" s="105" t="s">
        <v>69</v>
      </c>
      <c r="D13" s="104" t="s">
        <v>69</v>
      </c>
      <c r="E13" s="9"/>
      <c r="F13" s="9"/>
      <c r="G13" s="9"/>
    </row>
    <row r="14" spans="1:7" x14ac:dyDescent="0.2">
      <c r="A14" s="116" t="s">
        <v>385</v>
      </c>
      <c r="B14" s="104">
        <v>24.023</v>
      </c>
      <c r="C14" s="105">
        <v>1.324488274495E-2</v>
      </c>
      <c r="D14" s="104">
        <v>5.0000000000000001E-4</v>
      </c>
    </row>
    <row r="15" spans="1:7" x14ac:dyDescent="0.2">
      <c r="A15" s="116" t="s">
        <v>386</v>
      </c>
      <c r="B15" s="104">
        <v>0.66700000000000004</v>
      </c>
      <c r="C15" s="105">
        <v>0.66784789423470003</v>
      </c>
      <c r="D15" s="104">
        <v>6.9999999999999999E-4</v>
      </c>
    </row>
    <row r="16" spans="1:7" x14ac:dyDescent="0.2">
      <c r="A16" s="116" t="s">
        <v>387</v>
      </c>
      <c r="B16" s="104">
        <v>14.195</v>
      </c>
      <c r="C16" s="105" t="s">
        <v>69</v>
      </c>
      <c r="D16" s="104" t="s">
        <v>69</v>
      </c>
    </row>
    <row r="17" spans="1:7" x14ac:dyDescent="0.2">
      <c r="A17" s="116" t="s">
        <v>388</v>
      </c>
      <c r="B17" s="104">
        <v>0.60699999999999998</v>
      </c>
      <c r="C17" s="105" t="s">
        <v>69</v>
      </c>
      <c r="D17" s="104" t="s">
        <v>69</v>
      </c>
    </row>
    <row r="18" spans="1:7" ht="14.25" x14ac:dyDescent="0.2">
      <c r="A18" s="114" t="s">
        <v>389</v>
      </c>
      <c r="B18" s="105">
        <v>71.427999999999997</v>
      </c>
      <c r="C18" s="105">
        <v>0.23252913296034</v>
      </c>
      <c r="D18" s="105">
        <v>2.6100000000000002E-2</v>
      </c>
      <c r="E18" s="9"/>
      <c r="F18" s="9"/>
      <c r="G18" s="9"/>
    </row>
    <row r="19" spans="1:7" ht="13.5" x14ac:dyDescent="0.2">
      <c r="A19" s="115" t="s">
        <v>390</v>
      </c>
      <c r="B19" s="105">
        <v>71.427999999999997</v>
      </c>
      <c r="C19" s="105">
        <v>0.23252913296034</v>
      </c>
      <c r="D19" s="105">
        <v>2.6100000000000002E-2</v>
      </c>
      <c r="E19" s="9"/>
      <c r="F19" s="9"/>
      <c r="G19" s="9"/>
    </row>
    <row r="20" spans="1:7" x14ac:dyDescent="0.2">
      <c r="A20" s="116" t="s">
        <v>391</v>
      </c>
      <c r="B20" s="104">
        <v>63.642000000000003</v>
      </c>
      <c r="C20" s="105">
        <v>0.24097865617617001</v>
      </c>
      <c r="D20" s="104">
        <v>2.41E-2</v>
      </c>
      <c r="E20" s="9"/>
      <c r="F20" s="9"/>
      <c r="G20" s="9"/>
    </row>
    <row r="21" spans="1:7" x14ac:dyDescent="0.2">
      <c r="A21" s="116" t="s">
        <v>392</v>
      </c>
      <c r="B21" s="104">
        <v>6.3550000000000004</v>
      </c>
      <c r="C21" s="105">
        <v>0.19025820756740999</v>
      </c>
      <c r="D21" s="104">
        <v>1.9E-3</v>
      </c>
    </row>
    <row r="22" spans="1:7" x14ac:dyDescent="0.2">
      <c r="A22" s="116" t="s">
        <v>393</v>
      </c>
      <c r="B22" s="104" t="s">
        <v>69</v>
      </c>
      <c r="C22" s="105" t="s">
        <v>69</v>
      </c>
      <c r="D22" s="104" t="s">
        <v>69</v>
      </c>
    </row>
    <row r="23" spans="1:7" x14ac:dyDescent="0.2">
      <c r="A23" s="116" t="s">
        <v>394</v>
      </c>
      <c r="B23" s="104">
        <v>1.431</v>
      </c>
      <c r="C23" s="105">
        <v>4.4469855790609997E-2</v>
      </c>
      <c r="D23" s="104">
        <v>1E-4</v>
      </c>
    </row>
    <row r="24" spans="1:7" x14ac:dyDescent="0.2">
      <c r="A24" s="114" t="s">
        <v>395</v>
      </c>
      <c r="B24" s="105">
        <v>53.23</v>
      </c>
      <c r="C24" s="105">
        <v>2.869195429782E-2</v>
      </c>
      <c r="D24" s="105">
        <v>2.3999999999999998E-3</v>
      </c>
      <c r="E24" s="9"/>
      <c r="F24" s="9"/>
      <c r="G24" s="9"/>
    </row>
    <row r="25" spans="1:7" x14ac:dyDescent="0.2">
      <c r="A25" s="115" t="s">
        <v>396</v>
      </c>
      <c r="B25" s="104" t="s">
        <v>69</v>
      </c>
      <c r="C25" s="105" t="s">
        <v>69</v>
      </c>
      <c r="D25" s="104" t="s">
        <v>69</v>
      </c>
      <c r="E25" s="9"/>
      <c r="F25" s="9"/>
      <c r="G25" s="9"/>
    </row>
    <row r="26" spans="1:7" ht="13.5" x14ac:dyDescent="0.2">
      <c r="A26" s="115" t="s">
        <v>397</v>
      </c>
      <c r="B26" s="105">
        <v>53.23</v>
      </c>
      <c r="C26" s="105">
        <v>2.869195429782E-2</v>
      </c>
      <c r="D26" s="105">
        <v>2.3999999999999998E-3</v>
      </c>
      <c r="E26" s="9"/>
      <c r="F26" s="9"/>
      <c r="G26" s="9"/>
    </row>
    <row r="27" spans="1:7" x14ac:dyDescent="0.2">
      <c r="A27" s="116" t="s">
        <v>398</v>
      </c>
      <c r="B27" s="104">
        <v>11.407</v>
      </c>
      <c r="C27" s="105">
        <v>0.1227316560007</v>
      </c>
      <c r="D27" s="104">
        <v>2.2000000000000001E-3</v>
      </c>
      <c r="E27" s="9"/>
      <c r="F27" s="9"/>
      <c r="G27" s="9"/>
    </row>
    <row r="28" spans="1:7" x14ac:dyDescent="0.2">
      <c r="A28" s="116" t="s">
        <v>399</v>
      </c>
      <c r="B28" s="104">
        <v>40.069000000000003</v>
      </c>
      <c r="C28" s="105" t="s">
        <v>69</v>
      </c>
      <c r="D28" s="104" t="s">
        <v>69</v>
      </c>
    </row>
    <row r="29" spans="1:7" x14ac:dyDescent="0.2">
      <c r="A29" s="116" t="s">
        <v>400</v>
      </c>
      <c r="B29" s="104">
        <v>0.871</v>
      </c>
      <c r="C29" s="105">
        <v>0.14612253418224</v>
      </c>
      <c r="D29" s="104">
        <v>2.0000000000000001E-4</v>
      </c>
    </row>
    <row r="30" spans="1:7" x14ac:dyDescent="0.2">
      <c r="A30" s="116" t="s">
        <v>401</v>
      </c>
      <c r="B30" s="104">
        <v>0.88300000000000001</v>
      </c>
      <c r="C30" s="105" t="s">
        <v>69</v>
      </c>
      <c r="D30" s="104" t="s">
        <v>69</v>
      </c>
    </row>
    <row r="31" spans="1:7" x14ac:dyDescent="0.2">
      <c r="A31" s="114" t="s">
        <v>402</v>
      </c>
      <c r="B31" s="105" t="s">
        <v>311</v>
      </c>
      <c r="C31" s="105" t="s">
        <v>311</v>
      </c>
      <c r="D31" s="105" t="s">
        <v>311</v>
      </c>
      <c r="E31" s="9"/>
      <c r="F31" s="9"/>
      <c r="G31" s="9"/>
    </row>
    <row r="32" spans="1:7" x14ac:dyDescent="0.2">
      <c r="A32" s="115" t="s">
        <v>403</v>
      </c>
      <c r="B32" s="104" t="s">
        <v>311</v>
      </c>
      <c r="C32" s="105" t="s">
        <v>311</v>
      </c>
      <c r="D32" s="104" t="s">
        <v>311</v>
      </c>
      <c r="E32" s="9"/>
      <c r="F32" s="9"/>
      <c r="G32" s="9"/>
    </row>
    <row r="33" spans="1:7" ht="13.5" x14ac:dyDescent="0.2">
      <c r="A33" s="115" t="s">
        <v>404</v>
      </c>
      <c r="B33" s="105" t="s">
        <v>311</v>
      </c>
      <c r="C33" s="105" t="s">
        <v>311</v>
      </c>
      <c r="D33" s="105" t="s">
        <v>311</v>
      </c>
      <c r="E33" s="9"/>
      <c r="F33" s="9"/>
      <c r="G33" s="9"/>
    </row>
    <row r="34" spans="1:7" x14ac:dyDescent="0.2">
      <c r="A34" s="117" t="s">
        <v>405</v>
      </c>
      <c r="B34" s="105">
        <v>192.47499999999999</v>
      </c>
      <c r="C34" s="105">
        <v>0.22812880067069</v>
      </c>
      <c r="D34" s="105">
        <v>6.9000000000000006E-2</v>
      </c>
      <c r="E34" s="9"/>
      <c r="F34" s="9"/>
      <c r="G34" s="9"/>
    </row>
    <row r="35" spans="1:7" x14ac:dyDescent="0.2">
      <c r="A35" s="115" t="s">
        <v>406</v>
      </c>
      <c r="B35" s="104" t="s">
        <v>69</v>
      </c>
      <c r="C35" s="105" t="s">
        <v>69</v>
      </c>
      <c r="D35" s="104" t="s">
        <v>69</v>
      </c>
      <c r="E35" s="9"/>
      <c r="F35" s="9"/>
      <c r="G35" s="9"/>
    </row>
    <row r="36" spans="1:7" ht="13.5" x14ac:dyDescent="0.2">
      <c r="A36" s="115" t="s">
        <v>407</v>
      </c>
      <c r="B36" s="105">
        <v>192.47499999999999</v>
      </c>
      <c r="C36" s="105">
        <v>0.22812880067069</v>
      </c>
      <c r="D36" s="105">
        <v>6.9000000000000006E-2</v>
      </c>
      <c r="E36" s="9"/>
      <c r="F36" s="9"/>
      <c r="G36" s="9"/>
    </row>
    <row r="37" spans="1:7" x14ac:dyDescent="0.2">
      <c r="A37" s="116" t="s">
        <v>408</v>
      </c>
      <c r="B37" s="104">
        <v>192.47499999999999</v>
      </c>
      <c r="C37" s="105">
        <v>0.22812880067069</v>
      </c>
      <c r="D37" s="104">
        <v>6.9000000000000006E-2</v>
      </c>
      <c r="E37" s="9"/>
      <c r="F37" s="9"/>
      <c r="G37" s="9"/>
    </row>
    <row r="38" spans="1:7" x14ac:dyDescent="0.2">
      <c r="A38" s="117" t="s">
        <v>409</v>
      </c>
      <c r="B38" s="104" t="s">
        <v>69</v>
      </c>
      <c r="C38" s="105" t="s">
        <v>69</v>
      </c>
      <c r="D38" s="104" t="s">
        <v>69</v>
      </c>
      <c r="E38" s="9"/>
      <c r="F38" s="9"/>
      <c r="G38" s="9"/>
    </row>
    <row r="39" spans="1:7" x14ac:dyDescent="0.2">
      <c r="A39" s="118" t="s">
        <v>86</v>
      </c>
      <c r="B39" s="119"/>
      <c r="C39" s="119"/>
      <c r="D39" s="119"/>
      <c r="E39" s="9"/>
      <c r="F39" s="9"/>
      <c r="G39" s="9"/>
    </row>
    <row r="40" spans="1:7" ht="33" customHeight="1" x14ac:dyDescent="0.2">
      <c r="A40" s="244" t="s">
        <v>410</v>
      </c>
      <c r="B40" s="244"/>
      <c r="C40" s="244"/>
      <c r="D40" s="244"/>
      <c r="E40" s="9"/>
      <c r="F40" s="9"/>
      <c r="G40" s="9"/>
    </row>
    <row r="41" spans="1:7" ht="14.25" x14ac:dyDescent="0.25">
      <c r="A41" s="120" t="s">
        <v>411</v>
      </c>
      <c r="B41" s="30"/>
      <c r="C41" s="30"/>
      <c r="D41" s="30"/>
      <c r="E41" s="9"/>
      <c r="F41" s="9"/>
      <c r="G41" s="9"/>
    </row>
    <row r="42" spans="1:7" ht="13.5" x14ac:dyDescent="0.2">
      <c r="A42" s="257" t="s">
        <v>412</v>
      </c>
      <c r="B42" s="257"/>
      <c r="C42" s="30"/>
      <c r="D42" s="30"/>
      <c r="E42" s="9"/>
      <c r="F42" s="9"/>
      <c r="G42" s="9"/>
    </row>
    <row r="43" spans="1:7" ht="13.5" x14ac:dyDescent="0.2">
      <c r="A43" s="259" t="s">
        <v>413</v>
      </c>
      <c r="B43" s="259"/>
      <c r="C43" s="259"/>
      <c r="D43" s="259"/>
      <c r="E43" s="9"/>
      <c r="F43" s="9"/>
      <c r="G43" s="9"/>
    </row>
    <row r="44" spans="1:7" ht="27.75" customHeight="1" x14ac:dyDescent="0.2">
      <c r="A44" s="259" t="s">
        <v>414</v>
      </c>
      <c r="B44" s="259"/>
      <c r="C44" s="259"/>
      <c r="D44" s="259"/>
      <c r="E44" s="9"/>
      <c r="F44" s="9"/>
      <c r="G44" s="9"/>
    </row>
    <row r="45" spans="1:7" ht="13.5" x14ac:dyDescent="0.2">
      <c r="A45" s="259"/>
      <c r="B45" s="259"/>
      <c r="C45" s="259"/>
      <c r="D45" s="259"/>
      <c r="E45" s="9"/>
      <c r="F45" s="9"/>
      <c r="G45" s="9"/>
    </row>
    <row r="46" spans="1:7" x14ac:dyDescent="0.2">
      <c r="A46" s="121" t="s">
        <v>97</v>
      </c>
      <c r="B46" s="122"/>
      <c r="C46" s="122"/>
      <c r="D46" s="123"/>
      <c r="E46" s="9"/>
      <c r="F46" s="9"/>
      <c r="G46" s="9"/>
    </row>
    <row r="47" spans="1:7" ht="12.75" customHeight="1" x14ac:dyDescent="0.2">
      <c r="A47" s="286" t="s">
        <v>98</v>
      </c>
      <c r="B47" s="296"/>
      <c r="C47" s="296"/>
      <c r="D47" s="297"/>
      <c r="E47" s="124"/>
      <c r="F47" s="124"/>
      <c r="G47" s="124"/>
    </row>
    <row r="48" spans="1:7" x14ac:dyDescent="0.2">
      <c r="A48" s="77" t="s">
        <v>99</v>
      </c>
      <c r="B48" s="283" t="s">
        <v>67</v>
      </c>
      <c r="C48" s="298"/>
      <c r="D48" s="298"/>
      <c r="E48" s="9"/>
      <c r="F48" s="9"/>
      <c r="G48" s="9"/>
    </row>
    <row r="49" spans="1:4" x14ac:dyDescent="0.2">
      <c r="A49" s="77" t="s">
        <v>99</v>
      </c>
      <c r="B49" s="283" t="s">
        <v>67</v>
      </c>
      <c r="C49" s="298"/>
      <c r="D49" s="298"/>
    </row>
    <row r="50" spans="1:4" ht="12" customHeight="1" x14ac:dyDescent="0.2">
      <c r="A50" s="77" t="s">
        <v>99</v>
      </c>
      <c r="B50" s="283" t="s">
        <v>67</v>
      </c>
      <c r="C50" s="295"/>
      <c r="D50" s="295"/>
    </row>
    <row r="51" spans="1:4" ht="12" customHeight="1" x14ac:dyDescent="0.2">
      <c r="A51" s="77" t="s">
        <v>99</v>
      </c>
      <c r="B51" s="283" t="s">
        <v>67</v>
      </c>
      <c r="C51" s="295"/>
      <c r="D51" s="295"/>
    </row>
    <row r="52" spans="1:4" ht="12" customHeight="1" x14ac:dyDescent="0.2">
      <c r="A52" s="77" t="s">
        <v>99</v>
      </c>
      <c r="B52" s="283" t="s">
        <v>67</v>
      </c>
      <c r="C52" s="298"/>
      <c r="D52" s="298"/>
    </row>
    <row r="53" spans="1:4" ht="15" x14ac:dyDescent="0.2">
      <c r="A53" s="77" t="s">
        <v>99</v>
      </c>
      <c r="B53" s="283" t="s">
        <v>67</v>
      </c>
      <c r="C53" s="295"/>
      <c r="D53" s="295"/>
    </row>
    <row r="54" spans="1:4" ht="12" customHeight="1" x14ac:dyDescent="0.2">
      <c r="A54" s="77" t="s">
        <v>99</v>
      </c>
      <c r="B54" s="283" t="s">
        <v>67</v>
      </c>
      <c r="C54" s="295"/>
      <c r="D54" s="295"/>
    </row>
    <row r="55" spans="1:4" ht="12" customHeight="1" x14ac:dyDescent="0.2">
      <c r="A55" s="77" t="s">
        <v>99</v>
      </c>
      <c r="B55" s="283" t="s">
        <v>67</v>
      </c>
      <c r="C55" s="295"/>
      <c r="D55" s="295"/>
    </row>
    <row r="56" spans="1:4" ht="12" customHeight="1" x14ac:dyDescent="0.2">
      <c r="A56" s="77" t="s">
        <v>99</v>
      </c>
      <c r="B56" s="283" t="s">
        <v>67</v>
      </c>
      <c r="C56" s="295"/>
      <c r="D56" s="295"/>
    </row>
    <row r="57" spans="1:4" ht="12" customHeight="1" x14ac:dyDescent="0.2">
      <c r="A57" s="77" t="s">
        <v>99</v>
      </c>
      <c r="B57" s="283" t="s">
        <v>67</v>
      </c>
      <c r="C57" s="295"/>
      <c r="D57" s="295"/>
    </row>
  </sheetData>
  <mergeCells count="18">
    <mergeCell ref="A44:D44"/>
    <mergeCell ref="A2:C2"/>
    <mergeCell ref="A7:A8"/>
    <mergeCell ref="A40:D40"/>
    <mergeCell ref="A42:B42"/>
    <mergeCell ref="A43:D43"/>
    <mergeCell ref="B57:D57"/>
    <mergeCell ref="A45:D45"/>
    <mergeCell ref="A47:D47"/>
    <mergeCell ref="B48:D48"/>
    <mergeCell ref="B49:D49"/>
    <mergeCell ref="B50:D50"/>
    <mergeCell ref="B51:D51"/>
    <mergeCell ref="B52:D52"/>
    <mergeCell ref="B53:D53"/>
    <mergeCell ref="B54:D54"/>
    <mergeCell ref="B55:D55"/>
    <mergeCell ref="B56:D56"/>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9"/>
  <sheetViews>
    <sheetView workbookViewId="0">
      <pane xSplit="1" topLeftCell="D1" activePane="topRight" state="frozen"/>
      <selection pane="topRight" activeCell="J4" sqref="J4"/>
    </sheetView>
  </sheetViews>
  <sheetFormatPr defaultColWidth="8" defaultRowHeight="12" x14ac:dyDescent="0.2"/>
  <cols>
    <col min="1" max="1" width="45.85546875" style="11" customWidth="1"/>
    <col min="2" max="2" width="14.85546875" style="11" customWidth="1"/>
    <col min="3" max="18" width="11.85546875" style="11" customWidth="1"/>
    <col min="19" max="19" width="1.140625" style="11" customWidth="1"/>
    <col min="20" max="16384" width="8" style="11"/>
  </cols>
  <sheetData>
    <row r="1" spans="1:20" ht="20.100000000000001" customHeight="1" x14ac:dyDescent="0.25">
      <c r="A1" s="8" t="s">
        <v>35</v>
      </c>
      <c r="B1" s="9"/>
      <c r="C1" s="9"/>
      <c r="D1" s="9"/>
      <c r="E1" s="9"/>
      <c r="F1" s="9"/>
      <c r="G1" s="9"/>
      <c r="H1" s="9"/>
      <c r="I1" s="9"/>
      <c r="J1" s="9"/>
      <c r="K1" s="9"/>
      <c r="L1" s="9"/>
      <c r="M1" s="9"/>
      <c r="N1" s="9"/>
      <c r="O1" s="9"/>
      <c r="P1" s="9"/>
      <c r="Q1" s="9"/>
      <c r="R1" s="10" t="s">
        <v>36</v>
      </c>
      <c r="S1" s="9"/>
      <c r="T1" s="9"/>
    </row>
    <row r="2" spans="1:20" ht="15.75" x14ac:dyDescent="0.25">
      <c r="A2" s="8" t="s">
        <v>37</v>
      </c>
      <c r="B2" s="9"/>
      <c r="C2" s="9"/>
      <c r="D2" s="9"/>
      <c r="E2" s="9"/>
      <c r="F2" s="9"/>
      <c r="G2" s="9"/>
      <c r="H2" s="9"/>
      <c r="I2" s="9"/>
      <c r="J2" s="9"/>
      <c r="K2" s="9"/>
      <c r="L2" s="9"/>
      <c r="M2" s="9"/>
      <c r="N2" s="9"/>
      <c r="O2" s="9"/>
      <c r="P2" s="9"/>
      <c r="Q2" s="9"/>
      <c r="R2" s="10" t="s">
        <v>38</v>
      </c>
      <c r="S2" s="9"/>
      <c r="T2" s="9"/>
    </row>
    <row r="3" spans="1:20" ht="15.75" x14ac:dyDescent="0.25">
      <c r="A3" s="8" t="s">
        <v>39</v>
      </c>
      <c r="B3" s="9"/>
      <c r="C3" s="9"/>
      <c r="D3" s="9"/>
      <c r="E3" s="9" t="s">
        <v>40</v>
      </c>
      <c r="F3" s="9"/>
      <c r="G3" s="9"/>
      <c r="H3" s="9"/>
      <c r="I3" s="9"/>
      <c r="J3" s="9" t="s">
        <v>267</v>
      </c>
      <c r="K3" s="9" t="s">
        <v>268</v>
      </c>
      <c r="L3" s="9"/>
      <c r="M3" s="9"/>
      <c r="N3" s="9"/>
      <c r="O3" s="9"/>
      <c r="P3" s="9"/>
      <c r="Q3" s="9"/>
      <c r="R3" s="10" t="s">
        <v>41</v>
      </c>
      <c r="S3" s="9"/>
      <c r="T3" s="9"/>
    </row>
    <row r="4" spans="1:20" ht="12" customHeight="1" x14ac:dyDescent="0.2">
      <c r="A4" s="12"/>
      <c r="B4" s="13"/>
      <c r="C4" s="13"/>
      <c r="D4" s="13"/>
      <c r="E4" s="14">
        <f>E10/SUM(D10:E10)</f>
        <v>0.10828842678954895</v>
      </c>
      <c r="F4" s="13"/>
      <c r="G4" s="13"/>
      <c r="H4" s="13"/>
      <c r="I4" s="13"/>
      <c r="J4" s="13">
        <f>44/12*J11</f>
        <v>-0.30552932107430331</v>
      </c>
      <c r="K4" s="13">
        <f>44/12*K11</f>
        <v>-23.840434864031057</v>
      </c>
      <c r="L4" s="13"/>
      <c r="M4" s="13"/>
      <c r="N4" s="13"/>
      <c r="O4" s="15"/>
      <c r="P4" s="75"/>
      <c r="Q4" s="75"/>
      <c r="R4" s="15"/>
      <c r="S4" s="9"/>
      <c r="T4" s="9"/>
    </row>
    <row r="5" spans="1:20" ht="30" customHeight="1" x14ac:dyDescent="0.2">
      <c r="A5" s="272" t="s">
        <v>42</v>
      </c>
      <c r="B5" s="273"/>
      <c r="C5" s="274" t="s">
        <v>43</v>
      </c>
      <c r="D5" s="275"/>
      <c r="E5" s="276"/>
      <c r="F5" s="274" t="s">
        <v>44</v>
      </c>
      <c r="G5" s="275"/>
      <c r="H5" s="275"/>
      <c r="I5" s="275"/>
      <c r="J5" s="275"/>
      <c r="K5" s="276"/>
      <c r="L5" s="274" t="s">
        <v>45</v>
      </c>
      <c r="M5" s="275"/>
      <c r="N5" s="275"/>
      <c r="O5" s="275"/>
      <c r="P5" s="275"/>
      <c r="Q5" s="276"/>
      <c r="R5" s="266" t="s">
        <v>46</v>
      </c>
      <c r="S5" s="9"/>
      <c r="T5" s="9"/>
    </row>
    <row r="6" spans="1:20" ht="47.25" customHeight="1" x14ac:dyDescent="0.2">
      <c r="A6" s="277" t="s">
        <v>47</v>
      </c>
      <c r="B6" s="266" t="s">
        <v>48</v>
      </c>
      <c r="C6" s="266" t="s">
        <v>49</v>
      </c>
      <c r="D6" s="266" t="s">
        <v>50</v>
      </c>
      <c r="E6" s="262" t="s">
        <v>51</v>
      </c>
      <c r="F6" s="260" t="s">
        <v>52</v>
      </c>
      <c r="G6" s="261"/>
      <c r="H6" s="262"/>
      <c r="I6" s="266" t="s">
        <v>53</v>
      </c>
      <c r="J6" s="260" t="s">
        <v>54</v>
      </c>
      <c r="K6" s="262"/>
      <c r="L6" s="260" t="s">
        <v>55</v>
      </c>
      <c r="M6" s="261"/>
      <c r="N6" s="262"/>
      <c r="O6" s="266" t="s">
        <v>56</v>
      </c>
      <c r="P6" s="260" t="s">
        <v>57</v>
      </c>
      <c r="Q6" s="262"/>
      <c r="R6" s="267"/>
      <c r="S6" s="9"/>
      <c r="T6" s="9"/>
    </row>
    <row r="7" spans="1:20" ht="12.75" customHeight="1" x14ac:dyDescent="0.2">
      <c r="A7" s="278"/>
      <c r="B7" s="267"/>
      <c r="C7" s="267"/>
      <c r="D7" s="267"/>
      <c r="E7" s="281"/>
      <c r="F7" s="263"/>
      <c r="G7" s="264"/>
      <c r="H7" s="265"/>
      <c r="I7" s="267"/>
      <c r="J7" s="263"/>
      <c r="K7" s="265"/>
      <c r="L7" s="263"/>
      <c r="M7" s="264"/>
      <c r="N7" s="265"/>
      <c r="O7" s="267"/>
      <c r="P7" s="263"/>
      <c r="Q7" s="265"/>
      <c r="R7" s="267"/>
      <c r="S7" s="9"/>
      <c r="T7" s="9"/>
    </row>
    <row r="8" spans="1:20" ht="25.5" customHeight="1" x14ac:dyDescent="0.2">
      <c r="A8" s="278"/>
      <c r="B8" s="267"/>
      <c r="C8" s="267"/>
      <c r="D8" s="267"/>
      <c r="E8" s="281"/>
      <c r="F8" s="16" t="s">
        <v>58</v>
      </c>
      <c r="G8" s="16" t="s">
        <v>59</v>
      </c>
      <c r="H8" s="16" t="s">
        <v>60</v>
      </c>
      <c r="I8" s="268"/>
      <c r="J8" s="17" t="s">
        <v>61</v>
      </c>
      <c r="K8" s="18" t="s">
        <v>62</v>
      </c>
      <c r="L8" s="16" t="s">
        <v>58</v>
      </c>
      <c r="M8" s="16" t="s">
        <v>59</v>
      </c>
      <c r="N8" s="16" t="s">
        <v>60</v>
      </c>
      <c r="O8" s="268"/>
      <c r="P8" s="17" t="s">
        <v>61</v>
      </c>
      <c r="Q8" s="18" t="s">
        <v>62</v>
      </c>
      <c r="R8" s="268"/>
      <c r="S8" s="9"/>
      <c r="T8" s="9"/>
    </row>
    <row r="9" spans="1:20" ht="15.95" customHeight="1" thickBot="1" x14ac:dyDescent="0.25">
      <c r="A9" s="279"/>
      <c r="B9" s="280"/>
      <c r="C9" s="280"/>
      <c r="D9" s="280"/>
      <c r="E9" s="282"/>
      <c r="F9" s="269" t="s">
        <v>63</v>
      </c>
      <c r="G9" s="270"/>
      <c r="H9" s="270"/>
      <c r="I9" s="270"/>
      <c r="J9" s="270"/>
      <c r="K9" s="271"/>
      <c r="L9" s="269" t="s">
        <v>64</v>
      </c>
      <c r="M9" s="270"/>
      <c r="N9" s="270"/>
      <c r="O9" s="270"/>
      <c r="P9" s="270"/>
      <c r="Q9" s="271"/>
      <c r="R9" s="19" t="s">
        <v>65</v>
      </c>
      <c r="S9" s="9"/>
      <c r="T9" s="9"/>
    </row>
    <row r="10" spans="1:20" ht="12.75" thickTop="1" x14ac:dyDescent="0.2">
      <c r="A10" s="20" t="s">
        <v>66</v>
      </c>
      <c r="B10" s="21" t="s">
        <v>67</v>
      </c>
      <c r="C10" s="22">
        <v>2496.4810000000002</v>
      </c>
      <c r="D10" s="22">
        <v>2226.1410000000001</v>
      </c>
      <c r="E10" s="22">
        <v>270.33999999999997</v>
      </c>
      <c r="F10" s="22">
        <v>9.0074789273399992E-3</v>
      </c>
      <c r="G10" s="22">
        <v>-7.7823744703040001E-2</v>
      </c>
      <c r="H10" s="22">
        <v>-6.8816265775709998E-2</v>
      </c>
      <c r="I10" s="22">
        <v>-3.797345143E-4</v>
      </c>
      <c r="J10" s="22">
        <v>-9.6264342644960005E-2</v>
      </c>
      <c r="K10" s="22">
        <v>-6.5762780202707702</v>
      </c>
      <c r="L10" s="22">
        <v>22.486999999999998</v>
      </c>
      <c r="M10" s="22">
        <v>-194.28550000000001</v>
      </c>
      <c r="N10" s="22">
        <v>-171.79849999999999</v>
      </c>
      <c r="O10" s="22">
        <v>-0.94799999999999995</v>
      </c>
      <c r="P10" s="22">
        <v>-214.298</v>
      </c>
      <c r="Q10" s="22">
        <v>-1777.8309999999999</v>
      </c>
      <c r="R10" s="22">
        <v>7937.876833333341</v>
      </c>
      <c r="S10" s="9"/>
      <c r="T10" s="9"/>
    </row>
    <row r="11" spans="1:20" x14ac:dyDescent="0.2">
      <c r="A11" s="23" t="s">
        <v>68</v>
      </c>
      <c r="B11" s="21"/>
      <c r="C11" s="22">
        <v>2357.627</v>
      </c>
      <c r="D11" s="22">
        <v>2154.7130000000002</v>
      </c>
      <c r="E11" s="22">
        <v>202.91399999999999</v>
      </c>
      <c r="F11" s="22">
        <v>4.6105681688E-4</v>
      </c>
      <c r="G11" s="22" t="s">
        <v>69</v>
      </c>
      <c r="H11" s="22">
        <v>4.6105681688E-4</v>
      </c>
      <c r="I11" s="22" t="s">
        <v>70</v>
      </c>
      <c r="J11" s="22">
        <v>-8.3326178474809998E-2</v>
      </c>
      <c r="K11" s="22">
        <v>-6.5019367810993796</v>
      </c>
      <c r="L11" s="22">
        <v>1.087</v>
      </c>
      <c r="M11" s="22" t="s">
        <v>69</v>
      </c>
      <c r="N11" s="22">
        <v>1.087</v>
      </c>
      <c r="O11" s="22" t="s">
        <v>70</v>
      </c>
      <c r="P11" s="22">
        <v>-179.54400000000001</v>
      </c>
      <c r="Q11" s="22">
        <v>-1319.3340000000001</v>
      </c>
      <c r="R11" s="22">
        <v>5491.9003333333385</v>
      </c>
      <c r="S11" s="9"/>
      <c r="T11" s="9"/>
    </row>
    <row r="12" spans="1:20" x14ac:dyDescent="0.2">
      <c r="A12" s="24" t="s">
        <v>71</v>
      </c>
      <c r="B12" s="25" t="s">
        <v>71</v>
      </c>
      <c r="C12" s="22">
        <v>2357.627</v>
      </c>
      <c r="D12" s="25">
        <v>2154.7130000000002</v>
      </c>
      <c r="E12" s="25">
        <v>202.91399999999999</v>
      </c>
      <c r="F12" s="22">
        <v>4.6105681688E-4</v>
      </c>
      <c r="G12" s="22" t="s">
        <v>69</v>
      </c>
      <c r="H12" s="22">
        <v>4.6105681688E-4</v>
      </c>
      <c r="I12" s="22" t="s">
        <v>70</v>
      </c>
      <c r="J12" s="22">
        <v>-8.3326178474809998E-2</v>
      </c>
      <c r="K12" s="22">
        <v>-6.5019367810993796</v>
      </c>
      <c r="L12" s="25">
        <v>1.087</v>
      </c>
      <c r="M12" s="25" t="s">
        <v>69</v>
      </c>
      <c r="N12" s="22">
        <v>1.087</v>
      </c>
      <c r="O12" s="25" t="s">
        <v>70</v>
      </c>
      <c r="P12" s="25">
        <v>-179.54400000000001</v>
      </c>
      <c r="Q12" s="25">
        <v>-1319.3340000000001</v>
      </c>
      <c r="R12" s="22">
        <v>5491.9003333333385</v>
      </c>
      <c r="S12" s="9"/>
      <c r="T12" s="9"/>
    </row>
    <row r="13" spans="1:20" ht="13.5" x14ac:dyDescent="0.2">
      <c r="A13" s="26" t="s">
        <v>72</v>
      </c>
      <c r="B13" s="21" t="s">
        <v>67</v>
      </c>
      <c r="C13" s="22">
        <v>138.85400000000001</v>
      </c>
      <c r="D13" s="22">
        <v>71.427999999999997</v>
      </c>
      <c r="E13" s="22">
        <v>67.426000000000002</v>
      </c>
      <c r="F13" s="22">
        <v>0.15411871462110999</v>
      </c>
      <c r="G13" s="22">
        <v>-1.3992070808187</v>
      </c>
      <c r="H13" s="22">
        <v>-1.24508836619759</v>
      </c>
      <c r="I13" s="22">
        <v>-6.8273150215299996E-3</v>
      </c>
      <c r="J13" s="22">
        <v>-0.48655989247914</v>
      </c>
      <c r="K13" s="22">
        <v>-6.8000029662148096</v>
      </c>
      <c r="L13" s="22">
        <v>21.4</v>
      </c>
      <c r="M13" s="22">
        <v>-194.28550000000001</v>
      </c>
      <c r="N13" s="22">
        <v>-172.88550000000001</v>
      </c>
      <c r="O13" s="22">
        <v>-0.94799999999999995</v>
      </c>
      <c r="P13" s="22">
        <v>-34.753999999999998</v>
      </c>
      <c r="Q13" s="22">
        <v>-458.49700000000001</v>
      </c>
      <c r="R13" s="22">
        <v>2445.976500000002</v>
      </c>
      <c r="S13" s="9"/>
      <c r="T13" s="9"/>
    </row>
    <row r="14" spans="1:20" x14ac:dyDescent="0.2">
      <c r="A14" s="27" t="s">
        <v>73</v>
      </c>
      <c r="B14" s="21"/>
      <c r="C14" s="22">
        <v>108.318</v>
      </c>
      <c r="D14" s="22">
        <v>63.642000000000003</v>
      </c>
      <c r="E14" s="22">
        <v>44.676000000000002</v>
      </c>
      <c r="F14" s="22">
        <v>0.14882106390443001</v>
      </c>
      <c r="G14" s="22">
        <v>-1.7781116711903799</v>
      </c>
      <c r="H14" s="22">
        <v>-1.6292906072859501</v>
      </c>
      <c r="I14" s="22">
        <v>-8.7520079765100005E-3</v>
      </c>
      <c r="J14" s="22">
        <v>-0.51641997423084995</v>
      </c>
      <c r="K14" s="22">
        <v>-6.80000447667652</v>
      </c>
      <c r="L14" s="22">
        <v>16.12</v>
      </c>
      <c r="M14" s="22">
        <v>-192.60149999999999</v>
      </c>
      <c r="N14" s="22">
        <v>-176.48150000000001</v>
      </c>
      <c r="O14" s="22">
        <v>-0.94799999999999995</v>
      </c>
      <c r="P14" s="22">
        <v>-32.866</v>
      </c>
      <c r="Q14" s="22">
        <v>-303.79700000000003</v>
      </c>
      <c r="R14" s="22">
        <v>1885.005833333335</v>
      </c>
      <c r="S14" s="9"/>
      <c r="T14" s="9"/>
    </row>
    <row r="15" spans="1:20" x14ac:dyDescent="0.2">
      <c r="A15" s="24" t="s">
        <v>74</v>
      </c>
      <c r="B15" s="25" t="s">
        <v>74</v>
      </c>
      <c r="C15" s="22">
        <v>108.318</v>
      </c>
      <c r="D15" s="25">
        <v>63.642000000000003</v>
      </c>
      <c r="E15" s="25">
        <v>44.676000000000002</v>
      </c>
      <c r="F15" s="22">
        <v>0.14882106390443001</v>
      </c>
      <c r="G15" s="22">
        <v>-1.7781116711903799</v>
      </c>
      <c r="H15" s="22">
        <v>-1.6292906072859501</v>
      </c>
      <c r="I15" s="22">
        <v>-8.7520079765100005E-3</v>
      </c>
      <c r="J15" s="22">
        <v>-0.51641997423084995</v>
      </c>
      <c r="K15" s="22">
        <v>-6.80000447667652</v>
      </c>
      <c r="L15" s="25">
        <v>16.12</v>
      </c>
      <c r="M15" s="25">
        <v>-192.60149999999999</v>
      </c>
      <c r="N15" s="22">
        <v>-176.48150000000001</v>
      </c>
      <c r="O15" s="25">
        <v>-0.94799999999999995</v>
      </c>
      <c r="P15" s="25">
        <v>-32.866</v>
      </c>
      <c r="Q15" s="25">
        <v>-303.79700000000003</v>
      </c>
      <c r="R15" s="22">
        <v>1885.005833333335</v>
      </c>
      <c r="S15" s="9"/>
      <c r="T15" s="9"/>
    </row>
    <row r="16" spans="1:20" x14ac:dyDescent="0.2">
      <c r="A16" s="23" t="s">
        <v>75</v>
      </c>
      <c r="B16" s="21"/>
      <c r="C16" s="22">
        <v>7.7560000000000002</v>
      </c>
      <c r="D16" s="22">
        <v>6.3550000000000004</v>
      </c>
      <c r="E16" s="22">
        <v>1.401</v>
      </c>
      <c r="F16" s="22">
        <v>7.0139247034550004E-2</v>
      </c>
      <c r="G16" s="22">
        <v>-7.1944301186180004E-2</v>
      </c>
      <c r="H16" s="22">
        <v>-1.8050541516199999E-3</v>
      </c>
      <c r="I16" s="22" t="s">
        <v>76</v>
      </c>
      <c r="J16" s="22">
        <v>-0.27946498819826998</v>
      </c>
      <c r="K16" s="22">
        <v>-6.8001427551748801</v>
      </c>
      <c r="L16" s="22">
        <v>0.54400000000000004</v>
      </c>
      <c r="M16" s="22">
        <v>-0.55800000000000005</v>
      </c>
      <c r="N16" s="22">
        <v>-1.4E-2</v>
      </c>
      <c r="O16" s="22" t="s">
        <v>76</v>
      </c>
      <c r="P16" s="22">
        <v>-1.776</v>
      </c>
      <c r="Q16" s="22">
        <v>-9.5269999999999992</v>
      </c>
      <c r="R16" s="22">
        <v>41.4956666666667</v>
      </c>
      <c r="S16" s="9"/>
      <c r="T16" s="9"/>
    </row>
    <row r="17" spans="1:20" x14ac:dyDescent="0.2">
      <c r="A17" s="24" t="s">
        <v>77</v>
      </c>
      <c r="B17" s="25" t="s">
        <v>77</v>
      </c>
      <c r="C17" s="22">
        <v>7.7560000000000002</v>
      </c>
      <c r="D17" s="25">
        <v>6.3550000000000004</v>
      </c>
      <c r="E17" s="25">
        <v>1.401</v>
      </c>
      <c r="F17" s="22">
        <v>7.0139247034550004E-2</v>
      </c>
      <c r="G17" s="22">
        <v>-7.1944301186180004E-2</v>
      </c>
      <c r="H17" s="22">
        <v>-1.8050541516199999E-3</v>
      </c>
      <c r="I17" s="22" t="s">
        <v>76</v>
      </c>
      <c r="J17" s="22">
        <v>-0.27946498819826998</v>
      </c>
      <c r="K17" s="22">
        <v>-6.8001427551748801</v>
      </c>
      <c r="L17" s="25">
        <v>0.54400000000000004</v>
      </c>
      <c r="M17" s="25">
        <v>-0.55800000000000005</v>
      </c>
      <c r="N17" s="22">
        <v>-1.4E-2</v>
      </c>
      <c r="O17" s="25" t="s">
        <v>76</v>
      </c>
      <c r="P17" s="25">
        <v>-1.776</v>
      </c>
      <c r="Q17" s="25">
        <v>-9.5269999999999992</v>
      </c>
      <c r="R17" s="22">
        <v>41.4956666666667</v>
      </c>
      <c r="S17" s="9"/>
      <c r="T17" s="9"/>
    </row>
    <row r="18" spans="1:20" x14ac:dyDescent="0.2">
      <c r="A18" s="23" t="s">
        <v>78</v>
      </c>
      <c r="B18" s="21"/>
      <c r="C18" s="22">
        <v>21.349</v>
      </c>
      <c r="D18" s="22" t="s">
        <v>69</v>
      </c>
      <c r="E18" s="22">
        <v>21.349</v>
      </c>
      <c r="F18" s="22">
        <v>0.17049978921729</v>
      </c>
      <c r="G18" s="22">
        <v>-5.2742517213920002E-2</v>
      </c>
      <c r="H18" s="22">
        <v>0.11775727200336999</v>
      </c>
      <c r="I18" s="22" t="s">
        <v>76</v>
      </c>
      <c r="J18" s="22" t="s">
        <v>69</v>
      </c>
      <c r="K18" s="22">
        <v>-6.7999906318797096</v>
      </c>
      <c r="L18" s="22">
        <v>3.64</v>
      </c>
      <c r="M18" s="22">
        <v>-1.1259999999999999</v>
      </c>
      <c r="N18" s="22">
        <v>2.5139999999999998</v>
      </c>
      <c r="O18" s="22" t="s">
        <v>76</v>
      </c>
      <c r="P18" s="22" t="s">
        <v>69</v>
      </c>
      <c r="Q18" s="22">
        <v>-145.173</v>
      </c>
      <c r="R18" s="22">
        <v>523.08300000000042</v>
      </c>
      <c r="S18" s="9"/>
      <c r="T18" s="9"/>
    </row>
    <row r="19" spans="1:20" x14ac:dyDescent="0.2">
      <c r="A19" s="24" t="s">
        <v>79</v>
      </c>
      <c r="B19" s="25" t="s">
        <v>79</v>
      </c>
      <c r="C19" s="22">
        <v>21.349</v>
      </c>
      <c r="D19" s="25" t="s">
        <v>69</v>
      </c>
      <c r="E19" s="25">
        <v>21.349</v>
      </c>
      <c r="F19" s="22">
        <v>0.17049978921729</v>
      </c>
      <c r="G19" s="22">
        <v>-5.2742517213920002E-2</v>
      </c>
      <c r="H19" s="22">
        <v>0.11775727200336999</v>
      </c>
      <c r="I19" s="22" t="s">
        <v>76</v>
      </c>
      <c r="J19" s="22" t="s">
        <v>69</v>
      </c>
      <c r="K19" s="22">
        <v>-6.7999906318797096</v>
      </c>
      <c r="L19" s="25">
        <v>3.64</v>
      </c>
      <c r="M19" s="25">
        <v>-1.1259999999999999</v>
      </c>
      <c r="N19" s="22">
        <v>2.5139999999999998</v>
      </c>
      <c r="O19" s="25" t="s">
        <v>76</v>
      </c>
      <c r="P19" s="25" t="s">
        <v>69</v>
      </c>
      <c r="Q19" s="25">
        <v>-145.173</v>
      </c>
      <c r="R19" s="22">
        <v>523.08300000000042</v>
      </c>
      <c r="S19" s="9"/>
      <c r="T19" s="9"/>
    </row>
    <row r="20" spans="1:20" x14ac:dyDescent="0.2">
      <c r="A20" s="23" t="s">
        <v>80</v>
      </c>
      <c r="B20" s="21"/>
      <c r="C20" s="22">
        <v>1.431</v>
      </c>
      <c r="D20" s="22">
        <v>1.431</v>
      </c>
      <c r="E20" s="22" t="s">
        <v>69</v>
      </c>
      <c r="F20" s="22">
        <v>0.76589797344513999</v>
      </c>
      <c r="G20" s="22" t="s">
        <v>76</v>
      </c>
      <c r="H20" s="22">
        <v>0.76589797344513999</v>
      </c>
      <c r="I20" s="22" t="s">
        <v>76</v>
      </c>
      <c r="J20" s="22">
        <v>-7.8266946191469997E-2</v>
      </c>
      <c r="K20" s="22" t="s">
        <v>69</v>
      </c>
      <c r="L20" s="22">
        <v>1.0960000000000001</v>
      </c>
      <c r="M20" s="22" t="s">
        <v>76</v>
      </c>
      <c r="N20" s="22">
        <v>1.0960000000000001</v>
      </c>
      <c r="O20" s="22" t="s">
        <v>76</v>
      </c>
      <c r="P20" s="22">
        <v>-0.112</v>
      </c>
      <c r="Q20" s="22" t="s">
        <v>69</v>
      </c>
      <c r="R20" s="22">
        <v>-3.6080000000000001</v>
      </c>
      <c r="S20" s="9"/>
      <c r="T20" s="9"/>
    </row>
    <row r="21" spans="1:20" x14ac:dyDescent="0.2">
      <c r="A21" s="24" t="s">
        <v>81</v>
      </c>
      <c r="B21" s="25" t="s">
        <v>81</v>
      </c>
      <c r="C21" s="22">
        <v>1.431</v>
      </c>
      <c r="D21" s="25">
        <v>1.431</v>
      </c>
      <c r="E21" s="25" t="s">
        <v>69</v>
      </c>
      <c r="F21" s="22">
        <v>0.76589797344513999</v>
      </c>
      <c r="G21" s="22" t="s">
        <v>76</v>
      </c>
      <c r="H21" s="22">
        <v>0.76589797344513999</v>
      </c>
      <c r="I21" s="22" t="s">
        <v>76</v>
      </c>
      <c r="J21" s="22">
        <v>-7.8266946191469997E-2</v>
      </c>
      <c r="K21" s="22" t="s">
        <v>69</v>
      </c>
      <c r="L21" s="25">
        <v>1.0960000000000001</v>
      </c>
      <c r="M21" s="25" t="s">
        <v>76</v>
      </c>
      <c r="N21" s="22">
        <v>1.0960000000000001</v>
      </c>
      <c r="O21" s="25" t="s">
        <v>76</v>
      </c>
      <c r="P21" s="25">
        <v>-0.112</v>
      </c>
      <c r="Q21" s="25" t="s">
        <v>69</v>
      </c>
      <c r="R21" s="22">
        <v>-3.6080000000000001</v>
      </c>
      <c r="S21" s="9"/>
      <c r="T21" s="9"/>
    </row>
    <row r="22" spans="1:20" x14ac:dyDescent="0.2">
      <c r="A22" s="28" t="s">
        <v>82</v>
      </c>
      <c r="B22" s="21"/>
      <c r="C22" s="22" t="s">
        <v>83</v>
      </c>
      <c r="D22" s="22" t="s">
        <v>69</v>
      </c>
      <c r="E22" s="22" t="s">
        <v>84</v>
      </c>
      <c r="F22" s="22" t="s">
        <v>69</v>
      </c>
      <c r="G22" s="22" t="s">
        <v>69</v>
      </c>
      <c r="H22" s="22" t="s">
        <v>69</v>
      </c>
      <c r="I22" s="22" t="s">
        <v>69</v>
      </c>
      <c r="J22" s="22" t="s">
        <v>69</v>
      </c>
      <c r="K22" s="22" t="s">
        <v>69</v>
      </c>
      <c r="L22" s="22" t="s">
        <v>69</v>
      </c>
      <c r="M22" s="22" t="s">
        <v>69</v>
      </c>
      <c r="N22" s="22" t="s">
        <v>69</v>
      </c>
      <c r="O22" s="22" t="s">
        <v>69</v>
      </c>
      <c r="P22" s="22" t="s">
        <v>69</v>
      </c>
      <c r="Q22" s="22" t="s">
        <v>69</v>
      </c>
      <c r="R22" s="22" t="s">
        <v>69</v>
      </c>
      <c r="S22" s="9"/>
      <c r="T22" s="9"/>
    </row>
    <row r="23" spans="1:20" x14ac:dyDescent="0.2">
      <c r="A23" s="24" t="s">
        <v>85</v>
      </c>
      <c r="B23" s="25" t="s">
        <v>85</v>
      </c>
      <c r="C23" s="22" t="s">
        <v>83</v>
      </c>
      <c r="D23" s="25" t="s">
        <v>69</v>
      </c>
      <c r="E23" s="25" t="s">
        <v>84</v>
      </c>
      <c r="F23" s="22" t="s">
        <v>69</v>
      </c>
      <c r="G23" s="22" t="s">
        <v>69</v>
      </c>
      <c r="H23" s="22" t="s">
        <v>69</v>
      </c>
      <c r="I23" s="22" t="s">
        <v>69</v>
      </c>
      <c r="J23" s="22" t="s">
        <v>69</v>
      </c>
      <c r="K23" s="22" t="s">
        <v>69</v>
      </c>
      <c r="L23" s="25" t="s">
        <v>69</v>
      </c>
      <c r="M23" s="25" t="s">
        <v>69</v>
      </c>
      <c r="N23" s="22" t="s">
        <v>69</v>
      </c>
      <c r="O23" s="25" t="s">
        <v>69</v>
      </c>
      <c r="P23" s="25" t="s">
        <v>69</v>
      </c>
      <c r="Q23" s="25" t="s">
        <v>69</v>
      </c>
      <c r="R23" s="22" t="s">
        <v>69</v>
      </c>
      <c r="S23" s="9"/>
      <c r="T23" s="9"/>
    </row>
    <row r="24" spans="1:20" x14ac:dyDescent="0.2">
      <c r="A24" s="29" t="s">
        <v>86</v>
      </c>
      <c r="B24" s="30"/>
      <c r="C24" s="30"/>
      <c r="D24" s="30"/>
      <c r="E24" s="30"/>
      <c r="F24" s="30"/>
      <c r="G24" s="30"/>
      <c r="H24" s="30"/>
      <c r="I24" s="30"/>
      <c r="J24" s="30"/>
      <c r="K24" s="30"/>
      <c r="L24" s="30"/>
      <c r="M24" s="30"/>
      <c r="N24" s="30"/>
      <c r="O24" s="30"/>
      <c r="P24" s="30"/>
      <c r="Q24" s="30"/>
      <c r="R24" s="30"/>
      <c r="S24" s="9"/>
      <c r="T24" s="9"/>
    </row>
    <row r="25" spans="1:20" ht="13.5" x14ac:dyDescent="0.2">
      <c r="A25" s="306" t="s">
        <v>87</v>
      </c>
      <c r="B25" s="306"/>
      <c r="C25" s="306"/>
      <c r="D25" s="306"/>
      <c r="E25" s="306"/>
      <c r="F25" s="306"/>
      <c r="G25" s="306"/>
      <c r="H25" s="306"/>
      <c r="I25" s="306"/>
      <c r="J25" s="306"/>
      <c r="K25" s="306"/>
      <c r="L25" s="306"/>
      <c r="M25" s="30"/>
      <c r="N25" s="30"/>
      <c r="O25" s="30"/>
      <c r="P25" s="30"/>
      <c r="Q25" s="30"/>
      <c r="R25" s="30"/>
      <c r="S25" s="9"/>
      <c r="T25" s="9"/>
    </row>
    <row r="26" spans="1:20" ht="13.5" x14ac:dyDescent="0.2">
      <c r="A26" s="307" t="s">
        <v>88</v>
      </c>
      <c r="B26" s="307"/>
      <c r="C26" s="307"/>
      <c r="D26" s="307"/>
      <c r="E26" s="307"/>
      <c r="F26" s="307"/>
      <c r="G26" s="307"/>
      <c r="H26" s="307"/>
      <c r="I26" s="307"/>
      <c r="J26" s="307"/>
      <c r="K26" s="307"/>
      <c r="L26" s="307"/>
      <c r="M26" s="307"/>
      <c r="N26" s="30"/>
      <c r="O26" s="30"/>
      <c r="P26" s="30"/>
      <c r="Q26" s="30"/>
      <c r="R26" s="30"/>
      <c r="S26" s="9"/>
      <c r="T26" s="9"/>
    </row>
    <row r="27" spans="1:20" ht="13.5" x14ac:dyDescent="0.2">
      <c r="A27" s="308" t="s">
        <v>89</v>
      </c>
      <c r="B27" s="308"/>
      <c r="C27" s="308"/>
      <c r="D27" s="308"/>
      <c r="E27" s="308"/>
      <c r="F27" s="308"/>
      <c r="G27" s="308"/>
      <c r="H27" s="308"/>
      <c r="I27" s="308"/>
      <c r="J27" s="308"/>
      <c r="K27" s="308"/>
      <c r="L27" s="308"/>
      <c r="M27" s="308"/>
      <c r="N27" s="30"/>
      <c r="O27" s="30"/>
      <c r="P27" s="30"/>
      <c r="Q27" s="30"/>
      <c r="R27" s="30"/>
      <c r="S27" s="9"/>
      <c r="T27" s="9"/>
    </row>
    <row r="28" spans="1:20" ht="13.5" x14ac:dyDescent="0.2">
      <c r="A28" s="305" t="s">
        <v>90</v>
      </c>
      <c r="B28" s="305"/>
      <c r="C28" s="305"/>
      <c r="D28" s="305"/>
      <c r="E28" s="305"/>
      <c r="F28" s="305"/>
      <c r="G28" s="305"/>
      <c r="H28" s="305"/>
      <c r="I28" s="305"/>
      <c r="J28" s="305"/>
      <c r="K28" s="305"/>
      <c r="L28" s="305"/>
      <c r="M28" s="30"/>
      <c r="N28" s="30"/>
      <c r="O28" s="30"/>
      <c r="P28" s="30"/>
      <c r="Q28" s="30"/>
      <c r="R28" s="30"/>
      <c r="S28" s="9"/>
      <c r="T28" s="9"/>
    </row>
    <row r="29" spans="1:20" ht="13.5" x14ac:dyDescent="0.2">
      <c r="A29" s="304" t="s">
        <v>91</v>
      </c>
      <c r="B29" s="304"/>
      <c r="C29" s="304"/>
      <c r="D29" s="304"/>
      <c r="E29" s="304"/>
      <c r="F29" s="304"/>
      <c r="G29" s="304"/>
      <c r="H29" s="304"/>
      <c r="I29" s="304"/>
      <c r="J29" s="304"/>
      <c r="K29" s="304"/>
      <c r="L29" s="304"/>
      <c r="M29" s="30"/>
      <c r="N29" s="30"/>
      <c r="O29" s="30"/>
      <c r="P29" s="30"/>
      <c r="Q29" s="30"/>
      <c r="R29" s="30"/>
      <c r="S29" s="9"/>
      <c r="T29" s="9"/>
    </row>
    <row r="30" spans="1:20" ht="13.5" x14ac:dyDescent="0.2">
      <c r="A30" s="305" t="s">
        <v>92</v>
      </c>
      <c r="B30" s="305"/>
      <c r="C30" s="305"/>
      <c r="D30" s="305"/>
      <c r="E30" s="305"/>
      <c r="F30" s="305"/>
      <c r="G30" s="305"/>
      <c r="H30" s="305"/>
      <c r="I30" s="305"/>
      <c r="J30" s="305"/>
      <c r="K30" s="305"/>
      <c r="L30" s="30"/>
      <c r="M30" s="30"/>
      <c r="N30" s="30"/>
      <c r="O30" s="30"/>
      <c r="P30" s="30"/>
      <c r="Q30" s="30"/>
      <c r="R30" s="30"/>
      <c r="S30" s="9"/>
      <c r="T30" s="9"/>
    </row>
    <row r="31" spans="1:20" ht="13.5" x14ac:dyDescent="0.2">
      <c r="A31" s="305" t="s">
        <v>93</v>
      </c>
      <c r="B31" s="305"/>
      <c r="C31" s="305"/>
      <c r="D31" s="305"/>
      <c r="E31" s="305"/>
      <c r="F31" s="305"/>
      <c r="G31" s="305"/>
      <c r="H31" s="305"/>
      <c r="I31" s="305"/>
      <c r="J31" s="305"/>
      <c r="K31" s="305"/>
      <c r="L31" s="305"/>
      <c r="M31" s="30"/>
      <c r="N31" s="30"/>
      <c r="O31" s="30"/>
      <c r="P31" s="30"/>
      <c r="Q31" s="30"/>
      <c r="R31" s="30"/>
      <c r="S31" s="9"/>
      <c r="T31" s="9"/>
    </row>
    <row r="32" spans="1:20" ht="13.5" x14ac:dyDescent="0.2">
      <c r="A32" s="258" t="s">
        <v>94</v>
      </c>
      <c r="B32" s="258"/>
      <c r="C32" s="258"/>
      <c r="D32" s="258"/>
      <c r="E32" s="258"/>
      <c r="F32" s="258"/>
      <c r="G32" s="258"/>
      <c r="H32" s="258"/>
      <c r="I32" s="258"/>
      <c r="J32" s="258"/>
      <c r="K32" s="258"/>
      <c r="L32" s="258"/>
      <c r="M32" s="30"/>
      <c r="N32" s="30"/>
      <c r="O32" s="30"/>
      <c r="P32" s="30"/>
      <c r="Q32" s="30"/>
      <c r="R32" s="30"/>
      <c r="S32" s="9"/>
      <c r="T32" s="9"/>
    </row>
    <row r="33" spans="1:20" ht="12.75" customHeight="1" x14ac:dyDescent="0.2">
      <c r="A33" s="259" t="s">
        <v>95</v>
      </c>
      <c r="B33" s="259"/>
      <c r="C33" s="259"/>
      <c r="D33" s="259"/>
      <c r="E33" s="259"/>
      <c r="F33" s="259"/>
      <c r="G33" s="259"/>
      <c r="H33" s="259"/>
      <c r="I33" s="259"/>
      <c r="J33" s="259"/>
      <c r="K33" s="259"/>
      <c r="L33" s="259"/>
      <c r="M33" s="259"/>
      <c r="N33" s="31"/>
      <c r="O33" s="31"/>
      <c r="P33" s="31"/>
      <c r="Q33" s="31"/>
      <c r="R33" s="31"/>
      <c r="S33" s="31"/>
      <c r="T33" s="31"/>
    </row>
    <row r="34" spans="1:20" ht="13.5" x14ac:dyDescent="0.2">
      <c r="A34" s="304" t="s">
        <v>96</v>
      </c>
      <c r="B34" s="304"/>
      <c r="C34" s="304"/>
      <c r="D34" s="304"/>
      <c r="E34" s="304"/>
      <c r="F34" s="304"/>
      <c r="G34" s="304"/>
      <c r="H34" s="304"/>
      <c r="I34" s="304"/>
      <c r="J34" s="304"/>
      <c r="K34" s="304"/>
      <c r="L34" s="304"/>
      <c r="M34" s="304"/>
      <c r="N34" s="30"/>
      <c r="O34" s="30"/>
      <c r="P34" s="30"/>
      <c r="Q34" s="30"/>
      <c r="R34" s="30"/>
      <c r="S34" s="9"/>
      <c r="T34" s="9"/>
    </row>
    <row r="35" spans="1:20" x14ac:dyDescent="0.2">
      <c r="A35" s="9"/>
      <c r="B35" s="9"/>
      <c r="C35" s="9"/>
      <c r="D35" s="9"/>
      <c r="E35" s="9"/>
      <c r="F35" s="9"/>
      <c r="G35" s="9"/>
      <c r="H35" s="9"/>
      <c r="I35" s="9"/>
      <c r="J35" s="9"/>
      <c r="K35" s="9"/>
      <c r="L35" s="9"/>
      <c r="M35" s="9"/>
      <c r="N35" s="9"/>
      <c r="O35" s="9"/>
      <c r="P35" s="9"/>
      <c r="Q35" s="9"/>
      <c r="R35" s="9"/>
      <c r="S35" s="9"/>
      <c r="T35" s="9"/>
    </row>
    <row r="36" spans="1:20" ht="18" customHeight="1" x14ac:dyDescent="0.2">
      <c r="A36" s="32" t="s">
        <v>97</v>
      </c>
      <c r="B36" s="33"/>
      <c r="C36" s="33"/>
      <c r="D36" s="33"/>
      <c r="E36" s="33"/>
      <c r="F36" s="33"/>
      <c r="G36" s="33"/>
      <c r="H36" s="33"/>
      <c r="I36" s="33"/>
      <c r="J36" s="33"/>
      <c r="K36" s="33"/>
      <c r="L36" s="33"/>
      <c r="M36" s="33"/>
      <c r="N36" s="33"/>
      <c r="O36" s="33"/>
      <c r="P36" s="33"/>
      <c r="Q36" s="33"/>
      <c r="R36" s="34"/>
      <c r="S36" s="9"/>
      <c r="T36" s="9"/>
    </row>
    <row r="37" spans="1:20" ht="26.25" customHeight="1" x14ac:dyDescent="0.2">
      <c r="A37" s="303" t="s">
        <v>98</v>
      </c>
      <c r="B37" s="287"/>
      <c r="C37" s="287"/>
      <c r="D37" s="287"/>
      <c r="E37" s="287"/>
      <c r="F37" s="287"/>
      <c r="G37" s="287"/>
      <c r="H37" s="287"/>
      <c r="I37" s="287"/>
      <c r="J37" s="287"/>
      <c r="K37" s="287"/>
      <c r="L37" s="287"/>
      <c r="M37" s="287"/>
      <c r="N37" s="287"/>
      <c r="O37" s="287"/>
      <c r="P37" s="287"/>
      <c r="Q37" s="287"/>
      <c r="R37" s="288"/>
      <c r="S37" s="9"/>
      <c r="T37" s="9"/>
    </row>
    <row r="38" spans="1:20" ht="12" customHeight="1" x14ac:dyDescent="0.2">
      <c r="A38" s="35" t="s">
        <v>99</v>
      </c>
      <c r="B38" s="255" t="s">
        <v>67</v>
      </c>
      <c r="C38" s="256"/>
      <c r="D38" s="256"/>
      <c r="E38" s="256"/>
      <c r="F38" s="256"/>
      <c r="G38" s="256"/>
      <c r="H38" s="256"/>
      <c r="I38" s="256"/>
      <c r="J38" s="256"/>
      <c r="K38" s="256"/>
      <c r="L38" s="256"/>
      <c r="M38" s="256"/>
      <c r="N38" s="256"/>
      <c r="O38" s="256"/>
      <c r="P38" s="256"/>
      <c r="Q38" s="256"/>
      <c r="R38" s="256"/>
      <c r="S38" s="9"/>
      <c r="T38" s="9"/>
    </row>
    <row r="39" spans="1:20" ht="12" customHeight="1" x14ac:dyDescent="0.2">
      <c r="A39" s="35" t="s">
        <v>99</v>
      </c>
      <c r="B39" s="255" t="s">
        <v>67</v>
      </c>
      <c r="C39" s="256"/>
      <c r="D39" s="256"/>
      <c r="E39" s="256"/>
      <c r="F39" s="256"/>
      <c r="G39" s="256"/>
      <c r="H39" s="256"/>
      <c r="I39" s="256"/>
      <c r="J39" s="256"/>
      <c r="K39" s="256"/>
      <c r="L39" s="256"/>
      <c r="M39" s="256"/>
      <c r="N39" s="256"/>
      <c r="O39" s="256"/>
      <c r="P39" s="256"/>
      <c r="Q39" s="256"/>
      <c r="R39" s="256"/>
    </row>
  </sheetData>
  <mergeCells count="31">
    <mergeCell ref="R5:R8"/>
    <mergeCell ref="A6:A9"/>
    <mergeCell ref="B6:B9"/>
    <mergeCell ref="C6:C9"/>
    <mergeCell ref="D6:D9"/>
    <mergeCell ref="E6:E9"/>
    <mergeCell ref="O6:O8"/>
    <mergeCell ref="P6:Q7"/>
    <mergeCell ref="A5:B5"/>
    <mergeCell ref="C5:E5"/>
    <mergeCell ref="F5:K5"/>
    <mergeCell ref="L5:Q5"/>
    <mergeCell ref="A28:L28"/>
    <mergeCell ref="F6:H7"/>
    <mergeCell ref="I6:I8"/>
    <mergeCell ref="J6:K7"/>
    <mergeCell ref="L6:N7"/>
    <mergeCell ref="F9:K9"/>
    <mergeCell ref="L9:Q9"/>
    <mergeCell ref="A25:L25"/>
    <mergeCell ref="A26:M26"/>
    <mergeCell ref="A27:M27"/>
    <mergeCell ref="A37:R37"/>
    <mergeCell ref="B38:R38"/>
    <mergeCell ref="B39:R39"/>
    <mergeCell ref="A29:L29"/>
    <mergeCell ref="A30:K30"/>
    <mergeCell ref="A31:L31"/>
    <mergeCell ref="A32:L32"/>
    <mergeCell ref="A33:M33"/>
    <mergeCell ref="A34:M34"/>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3"/>
  <sheetViews>
    <sheetView topLeftCell="A4" workbookViewId="0">
      <selection activeCell="A28" sqref="A28:E28"/>
    </sheetView>
  </sheetViews>
  <sheetFormatPr defaultColWidth="8" defaultRowHeight="12" x14ac:dyDescent="0.2"/>
  <cols>
    <col min="1" max="1" width="44.140625" style="11" customWidth="1"/>
    <col min="2" max="2" width="61" style="11" customWidth="1"/>
    <col min="3" max="3" width="16.5703125" style="11" customWidth="1"/>
    <col min="4" max="4" width="22.140625" style="11" customWidth="1"/>
    <col min="5" max="5" width="16.85546875" style="11" customWidth="1"/>
    <col min="6" max="16384" width="8" style="11"/>
  </cols>
  <sheetData>
    <row r="1" spans="1:6" ht="15.75" x14ac:dyDescent="0.2">
      <c r="A1" s="322" t="s">
        <v>100</v>
      </c>
      <c r="B1" s="322"/>
      <c r="C1" s="9"/>
      <c r="D1" s="9"/>
      <c r="E1" s="10" t="s">
        <v>36</v>
      </c>
    </row>
    <row r="2" spans="1:6" ht="17.25" x14ac:dyDescent="0.2">
      <c r="A2" s="322" t="s">
        <v>101</v>
      </c>
      <c r="B2" s="322"/>
      <c r="C2" s="9"/>
      <c r="D2" s="9"/>
      <c r="E2" s="10" t="s">
        <v>38</v>
      </c>
    </row>
    <row r="3" spans="1:6" ht="15.75" x14ac:dyDescent="0.25">
      <c r="A3" s="36" t="s">
        <v>39</v>
      </c>
      <c r="B3" s="37"/>
      <c r="C3" s="9"/>
      <c r="D3" s="9"/>
      <c r="E3" s="10" t="s">
        <v>41</v>
      </c>
    </row>
    <row r="4" spans="1:6" ht="12" customHeight="1" x14ac:dyDescent="0.2">
      <c r="A4" s="9"/>
      <c r="B4" s="9"/>
      <c r="C4" s="9"/>
      <c r="D4" s="9"/>
      <c r="E4" s="9"/>
    </row>
    <row r="5" spans="1:6" ht="27" customHeight="1" x14ac:dyDescent="0.2">
      <c r="A5" s="38" t="s">
        <v>42</v>
      </c>
      <c r="B5" s="323" t="s">
        <v>102</v>
      </c>
      <c r="C5" s="324"/>
      <c r="D5" s="39" t="s">
        <v>103</v>
      </c>
      <c r="E5" s="40" t="s">
        <v>104</v>
      </c>
    </row>
    <row r="6" spans="1:6" ht="12" customHeight="1" x14ac:dyDescent="0.2">
      <c r="A6" s="41"/>
      <c r="B6" s="42" t="s">
        <v>105</v>
      </c>
      <c r="C6" s="39" t="s">
        <v>106</v>
      </c>
      <c r="D6" s="42"/>
      <c r="E6" s="43" t="s">
        <v>107</v>
      </c>
    </row>
    <row r="7" spans="1:6" ht="29.25" customHeight="1" thickBot="1" x14ac:dyDescent="0.25">
      <c r="A7" s="44"/>
      <c r="B7" s="45"/>
      <c r="C7" s="46" t="s">
        <v>108</v>
      </c>
      <c r="D7" s="46" t="s">
        <v>109</v>
      </c>
      <c r="E7" s="47" t="s">
        <v>65</v>
      </c>
      <c r="F7" s="11" t="s">
        <v>524</v>
      </c>
    </row>
    <row r="8" spans="1:6" ht="29.25" customHeight="1" thickTop="1" x14ac:dyDescent="0.2">
      <c r="A8" s="48" t="s">
        <v>110</v>
      </c>
      <c r="B8" s="21" t="s">
        <v>67</v>
      </c>
      <c r="C8" s="21" t="s">
        <v>67</v>
      </c>
      <c r="D8" s="21" t="s">
        <v>67</v>
      </c>
      <c r="E8" s="22">
        <v>10.78613895752137</v>
      </c>
    </row>
    <row r="9" spans="1:6" ht="29.25" customHeight="1" x14ac:dyDescent="0.2">
      <c r="A9" s="49" t="s">
        <v>111</v>
      </c>
      <c r="B9" s="22" t="s">
        <v>112</v>
      </c>
      <c r="C9" s="25">
        <v>146798000</v>
      </c>
      <c r="D9" s="22">
        <v>0.01</v>
      </c>
      <c r="E9" s="25">
        <v>2.30682571428571</v>
      </c>
    </row>
    <row r="10" spans="1:6" ht="29.25" customHeight="1" x14ac:dyDescent="0.2">
      <c r="A10" s="49" t="s">
        <v>113</v>
      </c>
      <c r="B10" s="22" t="s">
        <v>114</v>
      </c>
      <c r="C10" s="22">
        <v>75588753.91838333</v>
      </c>
      <c r="D10" s="22">
        <v>0.01</v>
      </c>
      <c r="E10" s="22">
        <v>1.18782327586031</v>
      </c>
    </row>
    <row r="11" spans="1:6" ht="25.5" customHeight="1" x14ac:dyDescent="0.2">
      <c r="A11" s="49" t="s">
        <v>115</v>
      </c>
      <c r="B11" s="22" t="s">
        <v>116</v>
      </c>
      <c r="C11" s="25">
        <v>72280558.518383324</v>
      </c>
      <c r="D11" s="22">
        <v>0.01</v>
      </c>
      <c r="E11" s="25">
        <v>1.13583734814602</v>
      </c>
    </row>
    <row r="12" spans="1:6" ht="22.5" customHeight="1" x14ac:dyDescent="0.2">
      <c r="A12" s="49" t="s">
        <v>117</v>
      </c>
      <c r="B12" s="22" t="s">
        <v>118</v>
      </c>
      <c r="C12" s="25">
        <v>2729339.4</v>
      </c>
      <c r="D12" s="22">
        <v>0.01</v>
      </c>
      <c r="E12" s="25">
        <v>4.2889619142859998E-2</v>
      </c>
    </row>
    <row r="13" spans="1:6" ht="20.25" customHeight="1" x14ac:dyDescent="0.2">
      <c r="A13" s="50" t="s">
        <v>119</v>
      </c>
      <c r="B13" s="22" t="s">
        <v>120</v>
      </c>
      <c r="C13" s="25">
        <v>578856</v>
      </c>
      <c r="D13" s="22">
        <v>0.01</v>
      </c>
      <c r="E13" s="25">
        <v>9.0963085714299997E-3</v>
      </c>
    </row>
    <row r="14" spans="1:6" ht="14.25" customHeight="1" x14ac:dyDescent="0.2">
      <c r="A14" s="49" t="s">
        <v>121</v>
      </c>
      <c r="B14" s="22" t="s">
        <v>122</v>
      </c>
      <c r="C14" s="25">
        <v>13160704.648782164</v>
      </c>
      <c r="D14" s="22">
        <v>1.6961319227690001E-2</v>
      </c>
      <c r="E14" s="25">
        <v>0.35077886298617</v>
      </c>
    </row>
    <row r="15" spans="1:6" ht="14.25" customHeight="1" x14ac:dyDescent="0.2">
      <c r="A15" s="49" t="s">
        <v>123</v>
      </c>
      <c r="B15" s="22" t="s">
        <v>124</v>
      </c>
      <c r="C15" s="25">
        <v>98213868.7306346</v>
      </c>
      <c r="D15" s="22">
        <v>0.01</v>
      </c>
      <c r="E15" s="25">
        <v>1.5433607943385399</v>
      </c>
    </row>
    <row r="16" spans="1:6" ht="25.5" customHeight="1" x14ac:dyDescent="0.2">
      <c r="A16" s="49" t="s">
        <v>125</v>
      </c>
      <c r="B16" s="22" t="s">
        <v>126</v>
      </c>
      <c r="C16" s="25">
        <v>13811077</v>
      </c>
      <c r="D16" s="22">
        <v>9.9985619579800004E-3</v>
      </c>
      <c r="E16" s="25">
        <v>0.217</v>
      </c>
    </row>
    <row r="17" spans="1:6" ht="14.25" customHeight="1" x14ac:dyDescent="0.2">
      <c r="A17" s="49" t="s">
        <v>127</v>
      </c>
      <c r="B17" s="22" t="s">
        <v>128</v>
      </c>
      <c r="C17" s="25">
        <v>337157</v>
      </c>
      <c r="D17" s="22">
        <v>9.7776008237744403</v>
      </c>
      <c r="E17" s="25">
        <v>5.1803503100506401</v>
      </c>
      <c r="F17" s="154">
        <f>298*((1000*E17)/C17)</f>
        <v>4.5787107857617988</v>
      </c>
    </row>
    <row r="18" spans="1:6" ht="14.25" customHeight="1" x14ac:dyDescent="0.2">
      <c r="A18" s="49" t="s">
        <v>129</v>
      </c>
      <c r="B18" s="22" t="s">
        <v>67</v>
      </c>
      <c r="C18" s="25" t="s">
        <v>69</v>
      </c>
      <c r="D18" s="22" t="s">
        <v>69</v>
      </c>
      <c r="E18" s="25" t="s">
        <v>69</v>
      </c>
    </row>
    <row r="19" spans="1:6" ht="27" customHeight="1" x14ac:dyDescent="0.2">
      <c r="A19" s="51" t="s">
        <v>130</v>
      </c>
      <c r="B19" s="21" t="s">
        <v>67</v>
      </c>
      <c r="C19" s="21" t="s">
        <v>67</v>
      </c>
      <c r="D19" s="21" t="s">
        <v>67</v>
      </c>
      <c r="E19" s="22">
        <v>1.3556426864202</v>
      </c>
    </row>
    <row r="20" spans="1:6" ht="24" customHeight="1" x14ac:dyDescent="0.2">
      <c r="A20" s="52" t="s">
        <v>131</v>
      </c>
      <c r="B20" s="22" t="s">
        <v>132</v>
      </c>
      <c r="C20" s="25">
        <v>9705912.7448649295</v>
      </c>
      <c r="D20" s="22">
        <v>1.029565465136E-2</v>
      </c>
      <c r="E20" s="25">
        <v>0.15703085466732999</v>
      </c>
    </row>
    <row r="21" spans="1:6" x14ac:dyDescent="0.2">
      <c r="A21" s="52" t="s">
        <v>133</v>
      </c>
      <c r="B21" s="22" t="s">
        <v>134</v>
      </c>
      <c r="C21" s="25">
        <v>97665872.382166609</v>
      </c>
      <c r="D21" s="22">
        <v>7.8098210279399999E-3</v>
      </c>
      <c r="E21" s="25">
        <v>1.19861183175287</v>
      </c>
    </row>
    <row r="22" spans="1:6" ht="12" customHeight="1" x14ac:dyDescent="0.2">
      <c r="A22" s="9"/>
      <c r="B22" s="9"/>
      <c r="C22" s="9"/>
      <c r="D22" s="9"/>
      <c r="E22" s="9"/>
    </row>
    <row r="23" spans="1:6" ht="11.25" customHeight="1" x14ac:dyDescent="0.2">
      <c r="A23" s="325" t="s">
        <v>135</v>
      </c>
      <c r="B23" s="325"/>
      <c r="C23" s="325"/>
      <c r="D23" s="325"/>
      <c r="E23" s="325"/>
    </row>
    <row r="24" spans="1:6" ht="13.5" x14ac:dyDescent="0.2">
      <c r="A24" s="244" t="s">
        <v>136</v>
      </c>
      <c r="B24" s="244"/>
      <c r="C24" s="244"/>
      <c r="D24" s="244"/>
      <c r="E24" s="244"/>
    </row>
    <row r="25" spans="1:6" x14ac:dyDescent="0.2">
      <c r="A25" s="320" t="s">
        <v>137</v>
      </c>
      <c r="B25" s="321"/>
      <c r="C25" s="321"/>
      <c r="D25" s="321"/>
      <c r="E25" s="321"/>
    </row>
    <row r="26" spans="1:6" ht="14.25" customHeight="1" x14ac:dyDescent="0.2">
      <c r="A26" s="310" t="s">
        <v>138</v>
      </c>
      <c r="B26" s="310"/>
      <c r="C26" s="310"/>
      <c r="D26" s="310"/>
      <c r="E26" s="310"/>
    </row>
    <row r="27" spans="1:6" ht="14.25" customHeight="1" x14ac:dyDescent="0.2">
      <c r="A27" s="310" t="s">
        <v>139</v>
      </c>
      <c r="B27" s="310"/>
      <c r="C27" s="310"/>
      <c r="D27" s="310"/>
      <c r="E27" s="310"/>
    </row>
    <row r="28" spans="1:6" ht="13.5" x14ac:dyDescent="0.2">
      <c r="A28" s="310" t="s">
        <v>140</v>
      </c>
      <c r="B28" s="310"/>
      <c r="C28" s="310"/>
      <c r="D28" s="310"/>
      <c r="E28" s="310"/>
    </row>
    <row r="29" spans="1:6" ht="13.5" x14ac:dyDescent="0.2">
      <c r="A29" s="53"/>
      <c r="B29" s="53"/>
      <c r="C29" s="53"/>
      <c r="D29" s="53"/>
      <c r="E29" s="53"/>
    </row>
    <row r="30" spans="1:6" ht="13.5" x14ac:dyDescent="0.2">
      <c r="A30" s="54" t="s">
        <v>141</v>
      </c>
      <c r="B30" s="53"/>
      <c r="C30" s="53"/>
      <c r="D30" s="53"/>
      <c r="E30" s="53"/>
    </row>
    <row r="31" spans="1:6" ht="14.25" x14ac:dyDescent="0.2">
      <c r="A31" s="55" t="s">
        <v>142</v>
      </c>
      <c r="B31" s="55" t="s">
        <v>105</v>
      </c>
      <c r="C31" s="56" t="s">
        <v>106</v>
      </c>
      <c r="D31" s="53"/>
      <c r="E31" s="53"/>
    </row>
    <row r="32" spans="1:6" ht="13.5" x14ac:dyDescent="0.2">
      <c r="A32" s="57" t="s">
        <v>143</v>
      </c>
      <c r="B32" s="57" t="s">
        <v>144</v>
      </c>
      <c r="C32" s="25">
        <v>1.5578222500000001E-2</v>
      </c>
      <c r="D32" s="53"/>
      <c r="E32" s="53"/>
    </row>
    <row r="33" spans="1:5" ht="13.5" x14ac:dyDescent="0.2">
      <c r="A33" s="57" t="s">
        <v>145</v>
      </c>
      <c r="B33" s="57" t="s">
        <v>146</v>
      </c>
      <c r="C33" s="25">
        <v>8.6828931551759997E-2</v>
      </c>
      <c r="D33" s="53"/>
      <c r="E33" s="53"/>
    </row>
    <row r="34" spans="1:5" ht="13.5" x14ac:dyDescent="0.2">
      <c r="A34" s="57" t="s">
        <v>147</v>
      </c>
      <c r="B34" s="57" t="s">
        <v>148</v>
      </c>
      <c r="C34" s="25">
        <v>0.3</v>
      </c>
      <c r="D34" s="53"/>
      <c r="E34" s="53"/>
    </row>
    <row r="35" spans="1:5" ht="13.5" x14ac:dyDescent="0.2">
      <c r="A35" s="58" t="s">
        <v>149</v>
      </c>
      <c r="B35" s="59"/>
      <c r="C35" s="21" t="s">
        <v>67</v>
      </c>
      <c r="D35" s="53"/>
      <c r="E35" s="53"/>
    </row>
    <row r="36" spans="1:5" ht="13.5" x14ac:dyDescent="0.2">
      <c r="A36" s="60" t="s">
        <v>150</v>
      </c>
      <c r="B36" s="53"/>
      <c r="C36" s="53"/>
      <c r="D36" s="53"/>
      <c r="E36" s="53"/>
    </row>
    <row r="37" spans="1:5" ht="13.5" x14ac:dyDescent="0.2">
      <c r="A37" s="61"/>
      <c r="B37" s="53"/>
      <c r="C37" s="53"/>
      <c r="D37" s="53"/>
      <c r="E37" s="53"/>
    </row>
    <row r="38" spans="1:5" ht="12" customHeight="1" x14ac:dyDescent="0.2">
      <c r="A38" s="311" t="s">
        <v>97</v>
      </c>
      <c r="B38" s="312"/>
      <c r="C38" s="312"/>
      <c r="D38" s="312"/>
      <c r="E38" s="313"/>
    </row>
    <row r="39" spans="1:5" ht="27" customHeight="1" x14ac:dyDescent="0.2">
      <c r="A39" s="314" t="s">
        <v>151</v>
      </c>
      <c r="B39" s="315"/>
      <c r="C39" s="315"/>
      <c r="D39" s="315"/>
      <c r="E39" s="316"/>
    </row>
    <row r="40" spans="1:5" ht="12" customHeight="1" x14ac:dyDescent="0.2">
      <c r="A40" s="317" t="s">
        <v>152</v>
      </c>
      <c r="B40" s="318"/>
      <c r="C40" s="318"/>
      <c r="D40" s="318"/>
      <c r="E40" s="319"/>
    </row>
    <row r="41" spans="1:5" ht="12" customHeight="1" x14ac:dyDescent="0.25">
      <c r="A41" s="62" t="s">
        <v>153</v>
      </c>
      <c r="B41" s="63"/>
      <c r="C41" s="63"/>
      <c r="D41" s="63"/>
      <c r="E41" s="64"/>
    </row>
    <row r="42" spans="1:5" ht="12" customHeight="1" x14ac:dyDescent="0.2">
      <c r="A42" s="65" t="s">
        <v>154</v>
      </c>
      <c r="B42" s="66"/>
      <c r="C42" s="66"/>
      <c r="D42" s="66"/>
      <c r="E42" s="67"/>
    </row>
    <row r="43" spans="1:5" ht="12" customHeight="1" x14ac:dyDescent="0.2">
      <c r="A43" s="68" t="s">
        <v>99</v>
      </c>
      <c r="B43" s="255" t="s">
        <v>155</v>
      </c>
      <c r="C43" s="309"/>
      <c r="D43" s="309"/>
      <c r="E43" s="309"/>
    </row>
  </sheetData>
  <mergeCells count="13">
    <mergeCell ref="A25:E25"/>
    <mergeCell ref="A1:B1"/>
    <mergeCell ref="A2:B2"/>
    <mergeCell ref="B5:C5"/>
    <mergeCell ref="A23:E23"/>
    <mergeCell ref="A24:E24"/>
    <mergeCell ref="B43:E43"/>
    <mergeCell ref="A26:E26"/>
    <mergeCell ref="A27:E27"/>
    <mergeCell ref="A28:E28"/>
    <mergeCell ref="A38:E38"/>
    <mergeCell ref="A39:E39"/>
    <mergeCell ref="A40:E40"/>
  </mergeCells>
  <dataValidations count="1">
    <dataValidation allowBlank="1" showInputMessage="1" showErrorMessage="1" sqref="A45:E65509 F1:IN65509" xr:uid="{00000000-0002-0000-0F00-000000000000}"/>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
  <sheetViews>
    <sheetView workbookViewId="0">
      <selection activeCell="F23" sqref="F23"/>
    </sheetView>
  </sheetViews>
  <sheetFormatPr defaultRowHeight="15" x14ac:dyDescent="0.25"/>
  <cols>
    <col min="1" max="1" width="39.42578125" bestFit="1" customWidth="1"/>
  </cols>
  <sheetData>
    <row r="1" spans="1:2" x14ac:dyDescent="0.25">
      <c r="A1" t="s">
        <v>260</v>
      </c>
      <c r="B1">
        <f>2050634.35/2245000</f>
        <v>0.91342287305122494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
  <sheetViews>
    <sheetView workbookViewId="0">
      <selection activeCell="E16" sqref="E16"/>
    </sheetView>
  </sheetViews>
  <sheetFormatPr defaultRowHeight="15" x14ac:dyDescent="0.25"/>
  <sheetData>
    <row r="1" spans="1:3" x14ac:dyDescent="0.25">
      <c r="A1" t="s">
        <v>159</v>
      </c>
      <c r="B1" t="s">
        <v>163</v>
      </c>
      <c r="C1" t="s">
        <v>159</v>
      </c>
    </row>
    <row r="2" spans="1:3" x14ac:dyDescent="0.25">
      <c r="A2" t="s">
        <v>160</v>
      </c>
      <c r="B2">
        <v>1</v>
      </c>
      <c r="C2">
        <v>1</v>
      </c>
    </row>
    <row r="3" spans="1:3" x14ac:dyDescent="0.25">
      <c r="A3" t="s">
        <v>161</v>
      </c>
      <c r="B3">
        <v>25</v>
      </c>
      <c r="C3">
        <v>28</v>
      </c>
    </row>
    <row r="4" spans="1:3" x14ac:dyDescent="0.25">
      <c r="A4" t="s">
        <v>162</v>
      </c>
      <c r="B4">
        <v>298</v>
      </c>
      <c r="C4">
        <v>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workbookViewId="0">
      <selection activeCell="C5" sqref="C5"/>
    </sheetView>
  </sheetViews>
  <sheetFormatPr defaultColWidth="8.7109375" defaultRowHeight="15" x14ac:dyDescent="0.25"/>
  <cols>
    <col min="1" max="1" width="29.140625" style="165" bestFit="1" customWidth="1"/>
    <col min="2" max="2" width="8.140625" style="172" bestFit="1" customWidth="1"/>
    <col min="3" max="3" width="19.28515625" style="165" bestFit="1" customWidth="1"/>
    <col min="4" max="4" width="19.7109375" style="165" bestFit="1" customWidth="1"/>
    <col min="5" max="5" width="13.7109375" style="165" bestFit="1" customWidth="1"/>
    <col min="6" max="6" width="29.140625" style="166" customWidth="1"/>
    <col min="7" max="7" width="76.5703125" style="165" bestFit="1" customWidth="1"/>
    <col min="8" max="8" width="11.5703125" style="165" bestFit="1" customWidth="1"/>
    <col min="9" max="16384" width="8.7109375" style="165"/>
  </cols>
  <sheetData>
    <row r="1" spans="1:6" s="173" customFormat="1" ht="60" x14ac:dyDescent="0.25">
      <c r="A1" s="173" t="s">
        <v>0</v>
      </c>
      <c r="B1" s="174" t="s">
        <v>3</v>
      </c>
      <c r="C1" s="174" t="s">
        <v>628</v>
      </c>
      <c r="D1" s="174" t="s">
        <v>11</v>
      </c>
      <c r="E1" s="174" t="s">
        <v>10</v>
      </c>
      <c r="F1" s="152" t="s">
        <v>6</v>
      </c>
    </row>
    <row r="2" spans="1:6" x14ac:dyDescent="0.25">
      <c r="A2" s="165" t="s">
        <v>1</v>
      </c>
      <c r="C2" s="200"/>
      <c r="D2" s="200">
        <v>280000</v>
      </c>
      <c r="E2" s="200">
        <v>45000</v>
      </c>
    </row>
    <row r="3" spans="1:6" ht="30" x14ac:dyDescent="0.25">
      <c r="A3" s="165" t="s">
        <v>2</v>
      </c>
      <c r="B3" s="172" t="s">
        <v>5</v>
      </c>
      <c r="C3" s="201">
        <f>2000</f>
        <v>2000</v>
      </c>
      <c r="D3" s="200">
        <f>0.6*2000</f>
        <v>1200</v>
      </c>
      <c r="E3" s="202">
        <f>D3-C3-100</f>
        <v>-900</v>
      </c>
      <c r="F3" s="166" t="s">
        <v>582</v>
      </c>
    </row>
    <row r="4" spans="1:6" ht="45" x14ac:dyDescent="0.25">
      <c r="A4" s="165" t="s">
        <v>7</v>
      </c>
      <c r="B4" s="172" t="s">
        <v>4</v>
      </c>
      <c r="C4" s="201">
        <f>2000</f>
        <v>2000</v>
      </c>
      <c r="D4" s="200">
        <f>0.6*2000</f>
        <v>1200</v>
      </c>
      <c r="E4" s="202">
        <f>D4-C4-100</f>
        <v>-900</v>
      </c>
      <c r="F4" s="166" t="s">
        <v>582</v>
      </c>
    </row>
    <row r="5" spans="1:6" ht="30" x14ac:dyDescent="0.25">
      <c r="A5" s="167" t="s">
        <v>12</v>
      </c>
      <c r="C5" s="202">
        <f>2050634.35/2245000*D5</f>
        <v>7289.1145269487752</v>
      </c>
      <c r="D5" s="200">
        <f>(3*26600000)/10000</f>
        <v>7980</v>
      </c>
      <c r="E5" s="202">
        <f>D5-C5</f>
        <v>690.88547305122484</v>
      </c>
      <c r="F5" s="166" t="s">
        <v>13</v>
      </c>
    </row>
    <row r="6" spans="1:6" x14ac:dyDescent="0.25">
      <c r="A6" s="165" t="s">
        <v>14</v>
      </c>
      <c r="C6" s="200"/>
      <c r="D6" s="200"/>
      <c r="E6" s="203">
        <f t="shared" ref="E6:E16" si="0">D6-C6</f>
        <v>0</v>
      </c>
      <c r="F6" s="166" t="s">
        <v>15</v>
      </c>
    </row>
    <row r="7" spans="1:6" x14ac:dyDescent="0.25">
      <c r="A7" s="74" t="s">
        <v>16</v>
      </c>
      <c r="C7" s="200">
        <f>D7-14000</f>
        <v>56000</v>
      </c>
      <c r="D7" s="200">
        <v>70000</v>
      </c>
      <c r="E7" s="202">
        <f t="shared" si="0"/>
        <v>14000</v>
      </c>
    </row>
    <row r="8" spans="1:6" x14ac:dyDescent="0.25">
      <c r="A8" s="74" t="s">
        <v>17</v>
      </c>
      <c r="C8" s="200">
        <f>D8-10000</f>
        <v>10000</v>
      </c>
      <c r="D8" s="200">
        <v>20000</v>
      </c>
      <c r="E8" s="202">
        <f t="shared" si="0"/>
        <v>10000</v>
      </c>
    </row>
    <row r="9" spans="1:6" ht="30" x14ac:dyDescent="0.25">
      <c r="A9" s="3" t="s">
        <v>18</v>
      </c>
      <c r="C9" s="200"/>
      <c r="D9" s="200">
        <v>1400000</v>
      </c>
      <c r="E9" s="202"/>
    </row>
    <row r="10" spans="1:6" x14ac:dyDescent="0.25">
      <c r="A10" s="74" t="s">
        <v>19</v>
      </c>
      <c r="C10" s="200">
        <f>D10-2000</f>
        <v>23000</v>
      </c>
      <c r="D10" s="200">
        <v>25000</v>
      </c>
      <c r="E10" s="202">
        <f t="shared" si="0"/>
        <v>2000</v>
      </c>
    </row>
    <row r="11" spans="1:6" x14ac:dyDescent="0.25">
      <c r="A11" s="165" t="s">
        <v>20</v>
      </c>
      <c r="C11" s="200">
        <v>117000</v>
      </c>
      <c r="D11" s="200">
        <v>300000</v>
      </c>
      <c r="E11" s="202">
        <f t="shared" si="0"/>
        <v>183000</v>
      </c>
    </row>
    <row r="12" spans="1:6" ht="30" x14ac:dyDescent="0.25">
      <c r="A12" s="165" t="s">
        <v>21</v>
      </c>
      <c r="C12" s="200">
        <v>3000</v>
      </c>
      <c r="D12" s="200">
        <v>100000</v>
      </c>
      <c r="E12" s="202">
        <f t="shared" si="0"/>
        <v>97000</v>
      </c>
    </row>
    <row r="13" spans="1:6" x14ac:dyDescent="0.25">
      <c r="A13" s="165" t="s">
        <v>22</v>
      </c>
      <c r="C13" s="170"/>
      <c r="D13" s="170"/>
      <c r="E13" s="170"/>
    </row>
    <row r="14" spans="1:6" ht="30" x14ac:dyDescent="0.25">
      <c r="A14" s="169" t="s">
        <v>262</v>
      </c>
      <c r="C14" s="170"/>
      <c r="D14" s="170"/>
      <c r="E14" s="171"/>
    </row>
    <row r="15" spans="1:6" ht="30" x14ac:dyDescent="0.25">
      <c r="A15" s="167" t="s">
        <v>261</v>
      </c>
      <c r="C15" s="170">
        <v>0</v>
      </c>
      <c r="D15" s="170">
        <v>20000</v>
      </c>
      <c r="E15" s="171">
        <f t="shared" si="0"/>
        <v>20000</v>
      </c>
      <c r="F15" s="166" t="s">
        <v>23</v>
      </c>
    </row>
    <row r="16" spans="1:6" x14ac:dyDescent="0.25">
      <c r="A16" s="167" t="s">
        <v>263</v>
      </c>
      <c r="C16" s="170">
        <v>1591</v>
      </c>
      <c r="D16" s="170">
        <v>0</v>
      </c>
      <c r="E16" s="171">
        <f t="shared" si="0"/>
        <v>-1591</v>
      </c>
      <c r="F16" s="166" t="s">
        <v>587</v>
      </c>
    </row>
  </sheetData>
  <sheetProtection algorithmName="SHA-512" hashValue="WYbAtVvHnGh7oWH2SmHohHimVBQHaEbJoJuFsvLMjX2naIq5FRilgPwTVBiCa6L3raRy9pbc635xKX6wsKhKiw==" saltValue="pS7fkLENgTou//FL/RKoV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
  <sheetViews>
    <sheetView topLeftCell="B13" zoomScaleNormal="100" workbookViewId="0">
      <selection activeCell="F14" sqref="F14"/>
    </sheetView>
  </sheetViews>
  <sheetFormatPr defaultColWidth="8.7109375" defaultRowHeight="15" x14ac:dyDescent="0.25"/>
  <cols>
    <col min="1" max="1" width="15.5703125" style="173" customWidth="1"/>
    <col min="2" max="2" width="68.42578125" style="165" customWidth="1"/>
    <col min="3" max="3" width="17.140625" style="166" customWidth="1"/>
    <col min="4" max="4" width="15.85546875" style="166" customWidth="1"/>
    <col min="5" max="5" width="15.5703125" style="166" customWidth="1"/>
    <col min="6" max="7" width="15.85546875" style="166" customWidth="1"/>
    <col min="8" max="8" width="16.7109375" style="166" bestFit="1" customWidth="1"/>
    <col min="9" max="16384" width="8.7109375" style="166"/>
  </cols>
  <sheetData>
    <row r="1" spans="1:11" ht="105" x14ac:dyDescent="0.25">
      <c r="A1" s="173" t="s">
        <v>578</v>
      </c>
      <c r="B1" s="204" t="s">
        <v>577</v>
      </c>
      <c r="C1" s="205" t="s">
        <v>573</v>
      </c>
      <c r="D1" s="205" t="s">
        <v>574</v>
      </c>
      <c r="E1" s="205" t="s">
        <v>575</v>
      </c>
      <c r="F1" s="205" t="s">
        <v>576</v>
      </c>
      <c r="G1" s="206"/>
      <c r="H1" s="206" t="s">
        <v>627</v>
      </c>
      <c r="J1" s="234"/>
      <c r="K1" s="234"/>
    </row>
    <row r="2" spans="1:11" ht="60" x14ac:dyDescent="0.25">
      <c r="A2" s="173" t="s">
        <v>535</v>
      </c>
      <c r="B2" s="165" t="s">
        <v>555</v>
      </c>
      <c r="C2" s="195">
        <f>huuhtouma!F2</f>
        <v>7.1998928571428561E-3</v>
      </c>
      <c r="D2" s="181">
        <f>huuhtouma!G2</f>
        <v>0.32399517857142857</v>
      </c>
      <c r="E2" s="187"/>
      <c r="F2" s="187"/>
      <c r="G2" s="187"/>
      <c r="H2" s="187"/>
    </row>
    <row r="3" spans="1:11" ht="180" x14ac:dyDescent="0.25">
      <c r="A3" s="173" t="s">
        <v>535</v>
      </c>
      <c r="B3" s="165" t="s">
        <v>556</v>
      </c>
      <c r="C3" s="181">
        <f>raivaus!J48</f>
        <v>2.7654612857142853</v>
      </c>
      <c r="D3" s="180">
        <f>raivaus!G48</f>
        <v>-15.75582407142857</v>
      </c>
      <c r="E3" s="180">
        <f>raivaus!J44</f>
        <v>50.441541679869459</v>
      </c>
      <c r="F3" s="180">
        <f>raivaus!G44</f>
        <v>-302.64925007921676</v>
      </c>
      <c r="G3" s="180"/>
      <c r="H3" s="208">
        <f>raivaus!G50</f>
        <v>-302.36113356135962</v>
      </c>
    </row>
    <row r="4" spans="1:11" ht="30" x14ac:dyDescent="0.25">
      <c r="A4" s="173" t="s">
        <v>535</v>
      </c>
      <c r="B4" s="165" t="s">
        <v>557</v>
      </c>
      <c r="C4" s="181" t="s">
        <v>580</v>
      </c>
      <c r="D4" s="180" t="s">
        <v>580</v>
      </c>
      <c r="E4" s="181"/>
      <c r="F4" s="187"/>
      <c r="G4" s="187"/>
      <c r="H4" s="209"/>
    </row>
    <row r="5" spans="1:11" ht="90" x14ac:dyDescent="0.25">
      <c r="A5" s="173" t="s">
        <v>535</v>
      </c>
      <c r="B5" s="165" t="s">
        <v>558</v>
      </c>
      <c r="C5" s="181">
        <f>nurmet_kerääjäk_maanparannusk!O3-huuhtouma!F4</f>
        <v>6.9625635288648541E-2</v>
      </c>
      <c r="D5" s="195">
        <f>nurmet_kerääjäk_maanparannusk!P3-huuhtouma!G4</f>
        <v>4.8103339972889986E-2</v>
      </c>
      <c r="E5" s="181">
        <f>nurmet_kerääjäk_maanparannusk!Q3</f>
        <v>1.3377041478249698</v>
      </c>
      <c r="F5" s="180">
        <f>nurmet_kerääjäk_maanparannusk!R3</f>
        <v>0.92420036297263986</v>
      </c>
      <c r="G5" s="180"/>
      <c r="H5" s="208">
        <f>F5</f>
        <v>0.92420036297263986</v>
      </c>
    </row>
    <row r="6" spans="1:11" ht="30" x14ac:dyDescent="0.25">
      <c r="A6" s="173" t="s">
        <v>535</v>
      </c>
      <c r="B6" s="165" t="s">
        <v>559</v>
      </c>
      <c r="C6" s="181">
        <f>nurmet_kerääjäk_maanparannusk!O4+huuhtouma!F5</f>
        <v>0.48405849243150578</v>
      </c>
      <c r="D6" s="181"/>
      <c r="E6" s="187"/>
      <c r="F6" s="187"/>
      <c r="G6" s="187"/>
      <c r="H6" s="209"/>
    </row>
    <row r="7" spans="1:11" ht="150" x14ac:dyDescent="0.25">
      <c r="A7" s="173" t="s">
        <v>535</v>
      </c>
      <c r="B7" s="165" t="s">
        <v>629</v>
      </c>
      <c r="C7" s="181">
        <f>huuhtouma!F6</f>
        <v>7.1998928571428561E-3</v>
      </c>
      <c r="D7" s="181">
        <f>huuhtouma!G6</f>
        <v>6.4799035714285705E-2</v>
      </c>
      <c r="E7" s="187"/>
      <c r="F7" s="187"/>
      <c r="G7" s="187"/>
      <c r="H7" s="209"/>
    </row>
    <row r="8" spans="1:11" ht="210" x14ac:dyDescent="0.25">
      <c r="A8" s="173" t="s">
        <v>535</v>
      </c>
      <c r="B8" s="165" t="s">
        <v>630</v>
      </c>
      <c r="C8" s="187" t="s">
        <v>580</v>
      </c>
      <c r="D8" s="187" t="s">
        <v>580</v>
      </c>
      <c r="E8" s="187"/>
      <c r="F8" s="187"/>
      <c r="G8" s="187"/>
      <c r="H8" s="209"/>
    </row>
    <row r="9" spans="1:11" ht="90" x14ac:dyDescent="0.25">
      <c r="A9" s="173" t="s">
        <v>535</v>
      </c>
      <c r="B9" s="165" t="s">
        <v>560</v>
      </c>
      <c r="C9" s="187"/>
      <c r="D9" s="187"/>
      <c r="E9" s="187"/>
      <c r="F9" s="187"/>
      <c r="G9" s="187"/>
      <c r="H9" s="209"/>
    </row>
    <row r="10" spans="1:11" ht="30" x14ac:dyDescent="0.25">
      <c r="A10" s="173" t="s">
        <v>535</v>
      </c>
      <c r="B10" s="165" t="s">
        <v>561</v>
      </c>
      <c r="C10" s="187"/>
      <c r="D10" s="187"/>
      <c r="E10" s="187"/>
      <c r="F10" s="187"/>
      <c r="G10" s="187"/>
      <c r="H10" s="209"/>
    </row>
    <row r="11" spans="1:11" ht="30" x14ac:dyDescent="0.25">
      <c r="A11" s="173" t="s">
        <v>535</v>
      </c>
      <c r="B11" s="165" t="s">
        <v>562</v>
      </c>
      <c r="C11" s="187"/>
      <c r="D11" s="187"/>
      <c r="E11" s="187"/>
      <c r="F11" s="187"/>
      <c r="G11" s="187"/>
      <c r="H11" s="209"/>
    </row>
    <row r="12" spans="1:11" ht="30" x14ac:dyDescent="0.25">
      <c r="A12" s="173" t="s">
        <v>535</v>
      </c>
      <c r="B12" s="165" t="s">
        <v>536</v>
      </c>
      <c r="C12" s="187"/>
      <c r="D12" s="187"/>
      <c r="E12" s="187"/>
      <c r="F12" s="187"/>
      <c r="G12" s="187"/>
      <c r="H12" s="209"/>
    </row>
    <row r="13" spans="1:11" ht="30" x14ac:dyDescent="0.25">
      <c r="A13" s="173" t="s">
        <v>535</v>
      </c>
      <c r="B13" s="165" t="s">
        <v>563</v>
      </c>
      <c r="C13" s="195">
        <f>huuhtouma!F7</f>
        <v>7.1998928571428561E-3</v>
      </c>
      <c r="D13" s="195">
        <f>huuhtouma!G7</f>
        <v>1.0799839285714284E-2</v>
      </c>
      <c r="E13" s="187"/>
      <c r="F13" s="187"/>
      <c r="G13" s="187"/>
      <c r="H13" s="209"/>
    </row>
    <row r="14" spans="1:11" ht="120" x14ac:dyDescent="0.25">
      <c r="A14" s="173" t="s">
        <v>535</v>
      </c>
      <c r="B14" s="165" t="s">
        <v>564</v>
      </c>
      <c r="C14" s="187"/>
      <c r="D14" s="187"/>
      <c r="E14" s="195">
        <f>raivaus!J45</f>
        <v>37.072737636247645</v>
      </c>
      <c r="F14" s="180">
        <f>raivaus!G45</f>
        <v>-222.43642581748591</v>
      </c>
      <c r="G14" s="180"/>
      <c r="H14" s="208">
        <f>raivaus!G51</f>
        <v>-222.20562028177162</v>
      </c>
    </row>
    <row r="15" spans="1:11" ht="105" x14ac:dyDescent="0.25">
      <c r="A15" s="173" t="s">
        <v>537</v>
      </c>
      <c r="B15" s="165" t="s">
        <v>631</v>
      </c>
      <c r="C15" s="187"/>
      <c r="D15" s="187"/>
      <c r="E15" s="187"/>
      <c r="F15" s="187"/>
      <c r="G15" s="187"/>
      <c r="H15" s="209"/>
    </row>
    <row r="16" spans="1:11" ht="60" x14ac:dyDescent="0.25">
      <c r="A16" s="173" t="s">
        <v>537</v>
      </c>
      <c r="B16" s="165" t="s">
        <v>632</v>
      </c>
      <c r="C16" s="187"/>
      <c r="D16" s="187"/>
      <c r="E16" s="187"/>
      <c r="F16" s="187"/>
      <c r="G16" s="187"/>
      <c r="H16" s="209"/>
    </row>
    <row r="17" spans="1:8" ht="60" x14ac:dyDescent="0.25">
      <c r="A17" s="173" t="s">
        <v>537</v>
      </c>
      <c r="B17" s="165" t="s">
        <v>565</v>
      </c>
      <c r="C17" s="187"/>
      <c r="D17" s="187"/>
      <c r="E17" s="187"/>
      <c r="F17" s="187"/>
      <c r="G17" s="187"/>
      <c r="H17" s="209"/>
    </row>
    <row r="18" spans="1:8" ht="60" x14ac:dyDescent="0.25">
      <c r="A18" s="173" t="s">
        <v>537</v>
      </c>
      <c r="B18" s="165" t="s">
        <v>566</v>
      </c>
      <c r="C18" s="187"/>
      <c r="D18" s="187"/>
      <c r="E18" s="187"/>
      <c r="F18" s="187"/>
      <c r="G18" s="187"/>
      <c r="H18" s="209"/>
    </row>
    <row r="19" spans="1:8" ht="45" x14ac:dyDescent="0.25">
      <c r="A19" s="173" t="s">
        <v>537</v>
      </c>
      <c r="B19" s="165" t="s">
        <v>567</v>
      </c>
      <c r="C19" s="187"/>
      <c r="D19" s="187"/>
      <c r="E19" s="187"/>
      <c r="F19" s="187"/>
      <c r="G19" s="187"/>
      <c r="H19" s="209"/>
    </row>
    <row r="20" spans="1:8" ht="120" x14ac:dyDescent="0.25">
      <c r="A20" s="173" t="s">
        <v>537</v>
      </c>
      <c r="B20" s="165" t="s">
        <v>568</v>
      </c>
      <c r="C20" s="187"/>
      <c r="D20" s="187"/>
      <c r="E20" s="187"/>
      <c r="F20" s="187"/>
      <c r="G20" s="187"/>
      <c r="H20" s="209"/>
    </row>
    <row r="21" spans="1:8" ht="135" x14ac:dyDescent="0.25">
      <c r="A21" s="173" t="s">
        <v>538</v>
      </c>
      <c r="B21" s="165" t="s">
        <v>569</v>
      </c>
      <c r="C21" s="181">
        <f>nurmet_kerääjäk_maanparannusk!O5-huuhtouma!F9</f>
        <v>6.9625635288648527E-2</v>
      </c>
      <c r="D21" s="181">
        <f>nurmet_kerääjäk_maanparannusk!P5-huuhtouma!G9</f>
        <v>0.9747588940410794</v>
      </c>
      <c r="E21" s="181">
        <f>nurmet_kerääjäk_maanparannusk!Q5</f>
        <v>1.33770414782497</v>
      </c>
      <c r="F21" s="180">
        <f>nurmet_kerääjäk_maanparannusk!R5</f>
        <v>18.72785806954958</v>
      </c>
      <c r="G21" s="180"/>
      <c r="H21" s="208">
        <f>F21</f>
        <v>18.72785806954958</v>
      </c>
    </row>
    <row r="22" spans="1:8" ht="120" x14ac:dyDescent="0.25">
      <c r="A22" s="173" t="s">
        <v>538</v>
      </c>
      <c r="B22" s="165" t="s">
        <v>570</v>
      </c>
      <c r="C22" s="181">
        <f>nurmet_kerääjäk_maanparannusk!O6-huuhtouma!F10</f>
        <v>6.9625635288648527E-2</v>
      </c>
      <c r="D22" s="181">
        <f>nurmet_kerääjäk_maanparannusk!P6-huuhtouma!G10</f>
        <v>0.69625635288648535</v>
      </c>
      <c r="E22" s="181">
        <f>nurmet_kerääjäk_maanparannusk!Q6</f>
        <v>1.33770414782497</v>
      </c>
      <c r="F22" s="180">
        <f>nurmet_kerääjäk_maanparannusk!R6</f>
        <v>13.377041478249701</v>
      </c>
      <c r="G22" s="180"/>
      <c r="H22" s="208">
        <f>F22</f>
        <v>13.377041478249701</v>
      </c>
    </row>
    <row r="23" spans="1:8" ht="255" x14ac:dyDescent="0.25">
      <c r="A23" s="173" t="s">
        <v>538</v>
      </c>
      <c r="B23" s="165" t="s">
        <v>571</v>
      </c>
      <c r="C23" s="195">
        <f>huuhtouma!F11</f>
        <v>2.3461114285714284E-2</v>
      </c>
      <c r="D23" s="210">
        <v>7</v>
      </c>
      <c r="E23" s="187"/>
      <c r="F23" s="187"/>
      <c r="G23" s="187"/>
      <c r="H23" s="209"/>
    </row>
    <row r="24" spans="1:8" ht="90" x14ac:dyDescent="0.25">
      <c r="A24" s="173" t="s">
        <v>538</v>
      </c>
      <c r="B24" s="165" t="s">
        <v>572</v>
      </c>
      <c r="C24" s="187"/>
      <c r="D24" s="187"/>
      <c r="E24" s="187"/>
      <c r="F24" s="187"/>
      <c r="G24" s="187"/>
      <c r="H24" s="209"/>
    </row>
    <row r="25" spans="1:8" ht="30" x14ac:dyDescent="0.25">
      <c r="A25" s="173" t="s">
        <v>539</v>
      </c>
      <c r="B25" s="169" t="s">
        <v>540</v>
      </c>
      <c r="C25" s="181">
        <f>huuhtouma!F12</f>
        <v>2.6692285714285716E-3</v>
      </c>
      <c r="D25" s="180">
        <f>huuhtouma!G12</f>
        <v>4.898034428571429</v>
      </c>
      <c r="E25" s="187"/>
      <c r="F25" s="187"/>
      <c r="G25" s="187"/>
      <c r="H25" s="209"/>
    </row>
    <row r="26" spans="1:8" ht="30" x14ac:dyDescent="0.25">
      <c r="A26" s="173" t="s">
        <v>539</v>
      </c>
      <c r="B26" s="165" t="s">
        <v>20</v>
      </c>
      <c r="C26" s="195">
        <f>nurmet_kerääjäk_maanparannusk!O10</f>
        <v>1.931678571428571E-2</v>
      </c>
      <c r="D26" s="181">
        <f>nurmet_kerääjäk_maanparannusk!P10</f>
        <v>3.5349717857142848</v>
      </c>
      <c r="E26" s="181">
        <f>nurmet_kerääjäk_maanparannusk!Q10</f>
        <v>0.45833333333333331</v>
      </c>
      <c r="F26" s="180">
        <f>nurmet_kerääjäk_maanparannusk!R10</f>
        <v>83.875</v>
      </c>
      <c r="G26" s="180"/>
      <c r="H26" s="208">
        <f>F26</f>
        <v>83.875</v>
      </c>
    </row>
    <row r="27" spans="1:8" ht="30" x14ac:dyDescent="0.25">
      <c r="A27" s="173" t="s">
        <v>539</v>
      </c>
      <c r="B27" s="165" t="s">
        <v>21</v>
      </c>
      <c r="C27" s="195">
        <f>nurmet_kerääjäk_maanparannusk!O11</f>
        <v>0</v>
      </c>
      <c r="D27" s="181">
        <f>nurmet_kerääjäk_maanparannusk!P11</f>
        <v>0</v>
      </c>
      <c r="E27" s="181">
        <f>nurmet_kerääjäk_maanparannusk!Q11</f>
        <v>1.1231959877409698</v>
      </c>
      <c r="F27" s="180">
        <f>nurmet_kerääjäk_maanparannusk!R11</f>
        <v>108.95001081087408</v>
      </c>
      <c r="G27" s="180"/>
      <c r="H27" s="208">
        <f>F27</f>
        <v>108.95001081087408</v>
      </c>
    </row>
    <row r="28" spans="1:8" ht="30" x14ac:dyDescent="0.25">
      <c r="A28" s="173" t="s">
        <v>539</v>
      </c>
      <c r="B28" s="165" t="s">
        <v>22</v>
      </c>
      <c r="C28" s="195">
        <f>'lietelannan sijoittaminen'!B14</f>
        <v>4.0214035714285716E-2</v>
      </c>
      <c r="D28" s="181">
        <f>'lietelannan sijoittaminen'!B15</f>
        <v>1.3270631785714286</v>
      </c>
      <c r="E28" s="187"/>
      <c r="F28" s="187"/>
      <c r="G28" s="187"/>
      <c r="H28" s="209"/>
    </row>
    <row r="29" spans="1:8" ht="30" x14ac:dyDescent="0.25">
      <c r="A29" s="173" t="s">
        <v>539</v>
      </c>
      <c r="B29" s="165" t="s">
        <v>496</v>
      </c>
      <c r="C29" s="181">
        <f>nurmet_kerääjäk_maanparannusk!O8</f>
        <v>1.7018673571428564</v>
      </c>
      <c r="D29" s="180">
        <f>nurmet_kerääjäk_maanparannusk!P8</f>
        <v>34.037347142857129</v>
      </c>
      <c r="E29" s="181">
        <f>nurmet_kerääjäk_maanparannusk!Q8</f>
        <v>8.06666666666667</v>
      </c>
      <c r="F29" s="180">
        <f>nurmet_kerääjäk_maanparannusk!R8</f>
        <v>161.3333333333334</v>
      </c>
      <c r="G29" s="180"/>
      <c r="H29" s="208">
        <f>F29</f>
        <v>161.3333333333334</v>
      </c>
    </row>
    <row r="30" spans="1:8" ht="30" x14ac:dyDescent="0.25">
      <c r="A30" s="173" t="s">
        <v>539</v>
      </c>
      <c r="B30" s="165" t="s">
        <v>498</v>
      </c>
      <c r="C30" s="181">
        <f>valumavesien_hallinta!J2</f>
        <v>1.4077107589285716</v>
      </c>
      <c r="D30" s="180">
        <f>valumavesien_hallinta!K2</f>
        <v>11.261686071428572</v>
      </c>
      <c r="E30" s="181">
        <f>valumavesien_hallinta!L2</f>
        <v>2.5218749999999992</v>
      </c>
      <c r="F30" s="180">
        <f>valumavesien_hallinta!M2</f>
        <v>20.174999999999994</v>
      </c>
      <c r="G30" s="180"/>
      <c r="H30" s="211">
        <f>valumavesien_hallinta!M14</f>
        <v>19.823999999999998</v>
      </c>
    </row>
    <row r="31" spans="1:8" ht="30" x14ac:dyDescent="0.25">
      <c r="A31" s="173" t="s">
        <v>539</v>
      </c>
      <c r="B31" s="165" t="s">
        <v>541</v>
      </c>
      <c r="C31" s="187"/>
      <c r="D31" s="187"/>
      <c r="E31" s="187"/>
      <c r="F31" s="187"/>
      <c r="G31" s="187"/>
      <c r="H31" s="209"/>
    </row>
    <row r="32" spans="1:8" ht="20.45" customHeight="1" x14ac:dyDescent="0.25">
      <c r="A32" s="173" t="s">
        <v>539</v>
      </c>
      <c r="B32" s="165" t="s">
        <v>542</v>
      </c>
      <c r="C32" s="187"/>
      <c r="D32" s="187"/>
      <c r="E32" s="187"/>
      <c r="F32" s="187"/>
      <c r="G32" s="187"/>
      <c r="H32" s="209"/>
    </row>
    <row r="33" spans="1:8" ht="20.45" customHeight="1" x14ac:dyDescent="0.25">
      <c r="A33" s="173" t="s">
        <v>539</v>
      </c>
      <c r="B33" s="165" t="s">
        <v>534</v>
      </c>
      <c r="C33" s="181">
        <f>kosteikot!B18</f>
        <v>2.0211400285904335</v>
      </c>
      <c r="D33" s="180">
        <f>kosteikot!B17</f>
        <v>1.8190260257313902</v>
      </c>
      <c r="E33" s="181">
        <f>kosteikot!B11</f>
        <v>3.7814915382570038</v>
      </c>
      <c r="F33" s="180">
        <f>kosteikot!B10</f>
        <v>3.4033423844313035</v>
      </c>
      <c r="G33" s="180"/>
      <c r="H33" s="209">
        <f>kosteikot!E30</f>
        <v>2.6989423844313034</v>
      </c>
    </row>
    <row r="34" spans="1:8" ht="20.45" customHeight="1" x14ac:dyDescent="0.25">
      <c r="A34" s="173" t="s">
        <v>539</v>
      </c>
      <c r="B34" s="165" t="s">
        <v>543</v>
      </c>
      <c r="C34" s="187"/>
      <c r="D34" s="187"/>
      <c r="E34" s="187"/>
      <c r="F34" s="187"/>
      <c r="G34" s="187"/>
      <c r="H34" s="209"/>
    </row>
    <row r="35" spans="1:8" ht="20.45" customHeight="1" x14ac:dyDescent="0.25">
      <c r="A35" s="173" t="s">
        <v>539</v>
      </c>
      <c r="B35" s="165" t="s">
        <v>544</v>
      </c>
      <c r="C35" s="187"/>
      <c r="D35" s="187"/>
      <c r="E35" s="187"/>
      <c r="F35" s="187"/>
      <c r="G35" s="187"/>
      <c r="H35" s="209"/>
    </row>
    <row r="36" spans="1:8" ht="18.95" customHeight="1" x14ac:dyDescent="0.25">
      <c r="A36" s="173" t="s">
        <v>539</v>
      </c>
      <c r="B36" s="165" t="s">
        <v>545</v>
      </c>
      <c r="C36" s="187"/>
      <c r="D36" s="187"/>
      <c r="E36" s="187"/>
      <c r="F36" s="187"/>
      <c r="G36" s="187"/>
      <c r="H36" s="209"/>
    </row>
    <row r="37" spans="1:8" ht="45" x14ac:dyDescent="0.25">
      <c r="A37" s="173" t="s">
        <v>546</v>
      </c>
      <c r="B37" s="165" t="s">
        <v>547</v>
      </c>
      <c r="C37" s="187"/>
      <c r="D37" s="187"/>
      <c r="E37" s="187"/>
      <c r="F37" s="187"/>
      <c r="G37" s="187"/>
      <c r="H37" s="209"/>
    </row>
    <row r="38" spans="1:8" ht="30" x14ac:dyDescent="0.25">
      <c r="A38" s="173" t="s">
        <v>548</v>
      </c>
      <c r="B38" s="165" t="s">
        <v>283</v>
      </c>
      <c r="C38" s="195">
        <f>huuhtouma!F15</f>
        <v>9.8339999999999973E-3</v>
      </c>
      <c r="D38" s="181">
        <f>huuhtouma!G15</f>
        <v>1.4259299999999997</v>
      </c>
      <c r="E38" s="187"/>
      <c r="F38" s="187"/>
      <c r="G38" s="187"/>
      <c r="H38" s="209"/>
    </row>
    <row r="39" spans="1:8" x14ac:dyDescent="0.25">
      <c r="A39" s="173" t="s">
        <v>549</v>
      </c>
      <c r="B39" s="165" t="s">
        <v>550</v>
      </c>
      <c r="C39" s="187"/>
      <c r="D39" s="187"/>
      <c r="E39" s="187"/>
      <c r="F39" s="187"/>
      <c r="G39" s="187"/>
      <c r="H39" s="209"/>
    </row>
    <row r="40" spans="1:8" x14ac:dyDescent="0.25">
      <c r="A40" s="173" t="s">
        <v>549</v>
      </c>
      <c r="B40" s="165" t="s">
        <v>551</v>
      </c>
      <c r="C40" s="187"/>
      <c r="D40" s="187"/>
      <c r="E40" s="187"/>
      <c r="F40" s="187"/>
      <c r="G40" s="187"/>
      <c r="H40" s="209"/>
    </row>
    <row r="41" spans="1:8" ht="30" x14ac:dyDescent="0.25">
      <c r="A41" s="173" t="s">
        <v>552</v>
      </c>
      <c r="B41" s="165" t="s">
        <v>553</v>
      </c>
      <c r="C41" s="187"/>
      <c r="D41" s="187"/>
      <c r="E41" s="187"/>
      <c r="F41" s="187"/>
      <c r="G41" s="187"/>
      <c r="H41" s="209"/>
    </row>
    <row r="42" spans="1:8" ht="30" x14ac:dyDescent="0.25">
      <c r="A42" s="173" t="s">
        <v>552</v>
      </c>
      <c r="B42" s="165" t="s">
        <v>554</v>
      </c>
      <c r="C42" s="187"/>
      <c r="D42" s="187"/>
      <c r="E42" s="187"/>
      <c r="F42" s="187"/>
      <c r="G42" s="187"/>
      <c r="H42" s="209"/>
    </row>
    <row r="43" spans="1:8" x14ac:dyDescent="0.25">
      <c r="B43" s="175" t="s">
        <v>581</v>
      </c>
      <c r="C43" s="181">
        <f>nurmet_kerääjäk_maanparannusk!O9</f>
        <v>0.55879839288364941</v>
      </c>
      <c r="D43" s="181">
        <f>nurmet_kerääjäk_maanparannusk!P9</f>
        <v>-0.8890482430778861</v>
      </c>
      <c r="E43" s="181">
        <f>nurmet_kerääjäk_maanparannusk!Q9</f>
        <v>2.7957284535086147</v>
      </c>
      <c r="F43" s="181">
        <f>nurmet_kerääjäk_maanparannusk!R9</f>
        <v>-4.4480039695322056</v>
      </c>
      <c r="G43" s="181"/>
      <c r="H43" s="212">
        <f>F43</f>
        <v>-4.4480039695322056</v>
      </c>
    </row>
    <row r="44" spans="1:8" x14ac:dyDescent="0.25">
      <c r="A44" s="178"/>
      <c r="B44" s="176"/>
      <c r="C44" s="213"/>
      <c r="D44" s="235">
        <f>SUM(D2:D43)-D23</f>
        <v>43.777898958839657</v>
      </c>
      <c r="E44" s="235"/>
      <c r="F44" s="235">
        <f>SUM(F2:F43)</f>
        <v>-118.7678934268242</v>
      </c>
      <c r="G44" s="214"/>
      <c r="H44" s="187"/>
    </row>
    <row r="45" spans="1:8" x14ac:dyDescent="0.25">
      <c r="C45" s="187"/>
      <c r="D45" s="187"/>
      <c r="E45" s="187"/>
      <c r="F45" s="180"/>
      <c r="G45" s="187"/>
      <c r="H45" s="187"/>
    </row>
    <row r="46" spans="1:8" x14ac:dyDescent="0.25">
      <c r="A46" s="179" t="s">
        <v>159</v>
      </c>
      <c r="B46" s="177"/>
      <c r="C46" s="215"/>
      <c r="D46" s="216">
        <f>D44/298*265</f>
        <v>38.930010819102378</v>
      </c>
      <c r="E46" s="215"/>
      <c r="F46" s="180">
        <f>SUM(H2:H43)</f>
        <v>-119.30437137325282</v>
      </c>
      <c r="G46" s="181"/>
      <c r="H46" s="166" t="s">
        <v>640</v>
      </c>
    </row>
    <row r="47" spans="1:8" x14ac:dyDescent="0.25">
      <c r="F47" s="207"/>
      <c r="G47" s="207"/>
      <c r="H47" s="166" t="s">
        <v>639</v>
      </c>
    </row>
    <row r="50" spans="4:7" x14ac:dyDescent="0.25">
      <c r="D50" s="236" t="s">
        <v>637</v>
      </c>
      <c r="E50" s="236"/>
      <c r="F50" s="236"/>
      <c r="G50" s="236"/>
    </row>
    <row r="51" spans="4:7" x14ac:dyDescent="0.25">
      <c r="D51" s="237">
        <f>+(D44+F44)/1000</f>
        <v>-7.4989994467984544E-2</v>
      </c>
      <c r="E51" s="236" t="s">
        <v>636</v>
      </c>
      <c r="F51" s="240">
        <f>+D51/16*100</f>
        <v>-0.46868746542490342</v>
      </c>
      <c r="G51" s="236" t="s">
        <v>638</v>
      </c>
    </row>
    <row r="52" spans="4:7" x14ac:dyDescent="0.25">
      <c r="F52" s="166" t="s">
        <v>641</v>
      </c>
    </row>
    <row r="55" spans="4:7" x14ac:dyDescent="0.25">
      <c r="D55" s="239" t="s">
        <v>645</v>
      </c>
    </row>
    <row r="56" spans="4:7" x14ac:dyDescent="0.25">
      <c r="D56" s="166" t="s">
        <v>646</v>
      </c>
    </row>
  </sheetData>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59"/>
  <sheetViews>
    <sheetView workbookViewId="0">
      <pane xSplit="1" topLeftCell="B1" activePane="topRight" state="frozen"/>
      <selection pane="topRight" activeCell="G12" sqref="G12:G13"/>
    </sheetView>
  </sheetViews>
  <sheetFormatPr defaultRowHeight="15" x14ac:dyDescent="0.25"/>
  <cols>
    <col min="1" max="1" width="29.42578125" style="165" customWidth="1"/>
    <col min="2" max="2" width="14.5703125" style="155" customWidth="1"/>
    <col min="3" max="4" width="12.5703125" style="155" bestFit="1" customWidth="1"/>
    <col min="5" max="5" width="14" style="155" bestFit="1" customWidth="1"/>
    <col min="6" max="6" width="14.42578125" style="155" bestFit="1" customWidth="1"/>
    <col min="7" max="7" width="14.42578125" bestFit="1" customWidth="1"/>
    <col min="8" max="10" width="14.42578125" customWidth="1"/>
    <col min="11" max="11" width="27.5703125" bestFit="1" customWidth="1"/>
    <col min="12" max="12" width="16.28515625" bestFit="1" customWidth="1"/>
    <col min="13" max="13" width="14.42578125" customWidth="1"/>
    <col min="14" max="14" width="14.85546875" bestFit="1" customWidth="1"/>
    <col min="15" max="15" width="23.140625" customWidth="1"/>
    <col min="16" max="17" width="14.42578125" customWidth="1"/>
    <col min="18" max="18" width="13.5703125" bestFit="1" customWidth="1"/>
    <col min="19" max="19" width="28.5703125" bestFit="1" customWidth="1"/>
    <col min="20" max="20" width="44.85546875" bestFit="1" customWidth="1"/>
  </cols>
  <sheetData>
    <row r="1" spans="1:36" s="73" customFormat="1" x14ac:dyDescent="0.25">
      <c r="A1" s="172" t="s">
        <v>266</v>
      </c>
      <c r="B1" s="226" t="s">
        <v>34</v>
      </c>
      <c r="C1" s="226"/>
      <c r="D1" s="226"/>
      <c r="E1" s="226"/>
      <c r="F1" s="226"/>
      <c r="G1" s="73" t="s">
        <v>251</v>
      </c>
      <c r="H1" s="197" t="s">
        <v>579</v>
      </c>
      <c r="T1" s="73" t="s">
        <v>190</v>
      </c>
      <c r="U1" s="73" t="s">
        <v>167</v>
      </c>
      <c r="W1" s="188">
        <f>'org&amp;wetland_päästökertoimet'!N3-'org&amp;wetland_päästökertoimet'!N2</f>
        <v>-8.06666666666667</v>
      </c>
    </row>
    <row r="2" spans="1:36" x14ac:dyDescent="0.25">
      <c r="A2" s="172" t="s">
        <v>32</v>
      </c>
      <c r="B2" s="226" t="s">
        <v>33</v>
      </c>
      <c r="C2" s="155" t="s">
        <v>31</v>
      </c>
      <c r="D2" s="155" t="s">
        <v>250</v>
      </c>
      <c r="E2" s="155" t="s">
        <v>248</v>
      </c>
      <c r="F2" s="155" t="s">
        <v>249</v>
      </c>
      <c r="G2" t="s">
        <v>273</v>
      </c>
      <c r="H2" t="s">
        <v>274</v>
      </c>
      <c r="I2" t="s">
        <v>252</v>
      </c>
      <c r="J2" t="s">
        <v>255</v>
      </c>
      <c r="K2" t="s">
        <v>287</v>
      </c>
      <c r="L2" t="s">
        <v>275</v>
      </c>
      <c r="M2" t="s">
        <v>254</v>
      </c>
      <c r="N2" t="s">
        <v>253</v>
      </c>
      <c r="O2" s="84" t="s">
        <v>257</v>
      </c>
      <c r="P2" s="84" t="s">
        <v>289</v>
      </c>
      <c r="Q2" s="84" t="s">
        <v>256</v>
      </c>
      <c r="R2" s="84" t="s">
        <v>276</v>
      </c>
      <c r="T2" t="s">
        <v>191</v>
      </c>
      <c r="U2" t="s">
        <v>246</v>
      </c>
      <c r="W2" s="1">
        <f>'org&amp;wetland_päästökertoimet'!N7-'org&amp;wetland_päästökertoimet'!N6</f>
        <v>-1.6389999999999993</v>
      </c>
    </row>
    <row r="3" spans="1:36" x14ac:dyDescent="0.25">
      <c r="A3" s="165" t="s">
        <v>30</v>
      </c>
      <c r="B3" s="198">
        <f>toimet!E5</f>
        <v>690.88547305122484</v>
      </c>
      <c r="C3" s="198">
        <f>(1-CRF4B!$E$4)*nurmet_kerääjäk_maanparannusk!B3</f>
        <v>616.07057208275432</v>
      </c>
      <c r="D3" s="198">
        <f>CRF4B!$E$4*nurmet_kerääjäk_maanparannusk!B3</f>
        <v>74.814900968470454</v>
      </c>
      <c r="E3" s="198">
        <f>(1-$AJ$14)*C3</f>
        <v>360.45705668140135</v>
      </c>
      <c r="F3" s="198">
        <f>(1-$AJ$15)*D3</f>
        <v>29.349200715613183</v>
      </c>
      <c r="G3" s="180">
        <f>(-$U$6--CRF4B!$J$4)*C3</f>
        <v>-687.45014386669345</v>
      </c>
      <c r="H3" s="180">
        <f t="shared" ref="H3:H8" si="0">$W$1*F3</f>
        <v>-236.75021910594643</v>
      </c>
      <c r="I3" s="180"/>
      <c r="J3" s="180">
        <f t="shared" ref="J3:J9" si="1">$W$2*F3</f>
        <v>-48.103339972889984</v>
      </c>
      <c r="K3" s="180">
        <f>-huuhtouma!H4</f>
        <v>-24.264884792806235</v>
      </c>
      <c r="L3" s="181">
        <f t="shared" ref="L3:L9" si="2">G3/B3</f>
        <v>-0.99502764304862334</v>
      </c>
      <c r="M3" s="182">
        <f>SUM(I3,J3,K3)</f>
        <v>-72.368224765696226</v>
      </c>
      <c r="N3" s="183">
        <f>SUM(G3,H3)</f>
        <v>-924.20036297263982</v>
      </c>
      <c r="O3" s="184">
        <f>-M3/$B3</f>
        <v>0.10474706386007711</v>
      </c>
      <c r="P3" s="185">
        <f>-M3/1000</f>
        <v>7.2368224765696224E-2</v>
      </c>
      <c r="Q3" s="185">
        <f>-N3/$B3</f>
        <v>1.3377041478249698</v>
      </c>
      <c r="R3" s="186">
        <f>-N3/1000</f>
        <v>0.92420036297263986</v>
      </c>
    </row>
    <row r="4" spans="1:36" x14ac:dyDescent="0.25">
      <c r="A4" s="165" t="s">
        <v>494</v>
      </c>
      <c r="B4" s="198"/>
      <c r="C4" s="198"/>
      <c r="D4" s="198"/>
      <c r="E4" s="198"/>
      <c r="F4" s="198"/>
      <c r="G4" s="180"/>
      <c r="H4" s="180"/>
      <c r="I4" s="180"/>
      <c r="J4" s="180"/>
      <c r="K4" s="180"/>
      <c r="L4" s="181"/>
      <c r="M4" s="182"/>
      <c r="N4" s="183"/>
      <c r="O4" s="184">
        <f>-SUM(I3:J3)/B3+huuhtouma!F5</f>
        <v>0.27684206386007715</v>
      </c>
      <c r="P4" s="184">
        <f>-SUM(J3:K3)/C3+huuhtouma!G5</f>
        <v>0.11746742669600406</v>
      </c>
      <c r="Q4" s="185"/>
      <c r="R4" s="186"/>
    </row>
    <row r="5" spans="1:36" x14ac:dyDescent="0.25">
      <c r="A5" s="165" t="s">
        <v>247</v>
      </c>
      <c r="B5" s="198">
        <f>toimet!E7</f>
        <v>14000</v>
      </c>
      <c r="C5" s="198">
        <f>(1-CRF4B!$E$4)*nurmet_kerääjäk_maanparannusk!B5</f>
        <v>12483.962024946315</v>
      </c>
      <c r="D5" s="198">
        <f>CRF4B!$E$4*nurmet_kerääjäk_maanparannusk!B5</f>
        <v>1516.0379750536852</v>
      </c>
      <c r="E5" s="198">
        <f>(1-$AJ$14)*C5</f>
        <v>7304.2479403318721</v>
      </c>
      <c r="F5" s="198">
        <f>(1-$AJ$15)*D5</f>
        <v>594.72781820688203</v>
      </c>
      <c r="G5" s="180">
        <f>(-$U$6--CRF4B!$J$4)*C5</f>
        <v>-13930.387002680729</v>
      </c>
      <c r="H5" s="180">
        <f t="shared" si="0"/>
        <v>-4797.4710668688504</v>
      </c>
      <c r="I5" s="180"/>
      <c r="J5" s="180">
        <f t="shared" si="1"/>
        <v>-974.75889404107932</v>
      </c>
      <c r="K5" s="181">
        <f>-huuhtouma!H9</f>
        <v>-757.21799999999996</v>
      </c>
      <c r="L5" s="181">
        <f t="shared" si="2"/>
        <v>-0.99502764304862346</v>
      </c>
      <c r="M5" s="182">
        <f>SUM(I5,J5,K5)</f>
        <v>-1731.9768940410793</v>
      </c>
      <c r="N5" s="183">
        <f t="shared" ref="N5:N11" si="3">SUM(G5,H5)</f>
        <v>-18727.85806954958</v>
      </c>
      <c r="O5" s="184">
        <f>-M5/$B5</f>
        <v>0.12371263528864852</v>
      </c>
      <c r="P5" s="185">
        <f>-M5/1000</f>
        <v>1.7319768940410794</v>
      </c>
      <c r="Q5" s="185">
        <f>-N5/$B5</f>
        <v>1.33770414782497</v>
      </c>
      <c r="R5" s="186">
        <f>-N5/1000</f>
        <v>18.72785806954958</v>
      </c>
      <c r="T5" t="s">
        <v>270</v>
      </c>
      <c r="U5">
        <v>0.221</v>
      </c>
      <c r="V5" t="s">
        <v>271</v>
      </c>
    </row>
    <row r="6" spans="1:36" x14ac:dyDescent="0.25">
      <c r="A6" s="165" t="s">
        <v>258</v>
      </c>
      <c r="B6" s="198">
        <f>toimet!E8</f>
        <v>10000</v>
      </c>
      <c r="C6" s="198">
        <f>(1-CRF4B!$E$4)*nurmet_kerääjäk_maanparannusk!B6</f>
        <v>8917.1157321045102</v>
      </c>
      <c r="D6" s="198">
        <f>CRF4B!$E$4*nurmet_kerääjäk_maanparannusk!B6</f>
        <v>1082.8842678954895</v>
      </c>
      <c r="E6" s="198">
        <f>(1-$AJ$14)*C6</f>
        <v>5217.3199573799084</v>
      </c>
      <c r="F6" s="198">
        <f>(1-$AJ$15)*D6</f>
        <v>424.80558443348724</v>
      </c>
      <c r="G6" s="180">
        <f>(-$U$6--CRF4B!$J$4)*C6</f>
        <v>-9950.2764304862358</v>
      </c>
      <c r="H6" s="180">
        <f t="shared" si="0"/>
        <v>-3426.7650477634652</v>
      </c>
      <c r="I6" s="180"/>
      <c r="J6" s="180">
        <f t="shared" si="1"/>
        <v>-696.25635288648527</v>
      </c>
      <c r="K6" s="181">
        <f>-huuhtouma!H10</f>
        <v>-143.99785714285713</v>
      </c>
      <c r="L6" s="181">
        <f t="shared" si="2"/>
        <v>-0.99502764304862357</v>
      </c>
      <c r="M6" s="182">
        <f>SUM(I6,J6,K6)</f>
        <v>-840.2542100293424</v>
      </c>
      <c r="N6" s="183">
        <f t="shared" si="3"/>
        <v>-13377.041478249701</v>
      </c>
      <c r="O6" s="184">
        <f t="shared" ref="O6:O7" si="4">-M6/$B6</f>
        <v>8.4025421002934239E-2</v>
      </c>
      <c r="P6" s="185">
        <f>-M6/1000</f>
        <v>0.84025421002934242</v>
      </c>
      <c r="Q6" s="185">
        <f t="shared" ref="Q6:Q11" si="5">-N6/$B6</f>
        <v>1.33770414782497</v>
      </c>
      <c r="R6" s="186">
        <f t="shared" ref="R6:R7" si="6">-N6/1000</f>
        <v>13.377041478249701</v>
      </c>
      <c r="U6">
        <f>44/12*U5</f>
        <v>0.81033333333333335</v>
      </c>
      <c r="V6" t="s">
        <v>272</v>
      </c>
    </row>
    <row r="7" spans="1:36" x14ac:dyDescent="0.25">
      <c r="A7" s="3" t="s">
        <v>259</v>
      </c>
      <c r="B7" s="198">
        <f>toimet!E10</f>
        <v>2000</v>
      </c>
      <c r="C7" s="198">
        <f>(1-CRF4B!$E$4)*nurmet_kerääjäk_maanparannusk!B7</f>
        <v>1783.423146420902</v>
      </c>
      <c r="D7" s="198">
        <f>CRF4B!$E$4*nurmet_kerääjäk_maanparannusk!B7</f>
        <v>216.5768535790979</v>
      </c>
      <c r="E7" s="198">
        <f>(1-$AJ$14)*C7</f>
        <v>1043.4639914759816</v>
      </c>
      <c r="F7" s="198">
        <f>(1-$AJ$15)*D7</f>
        <v>84.96111688669744</v>
      </c>
      <c r="G7" s="180">
        <f>(-$U$6--CRF4B!$J$4)*C7</f>
        <v>-1990.0552860972468</v>
      </c>
      <c r="H7" s="180">
        <f t="shared" si="0"/>
        <v>-685.35300955269292</v>
      </c>
      <c r="I7" s="180"/>
      <c r="J7" s="180">
        <f t="shared" si="1"/>
        <v>-139.25127057729705</v>
      </c>
      <c r="K7" s="180"/>
      <c r="L7" s="181">
        <f t="shared" si="2"/>
        <v>-0.99502764304862346</v>
      </c>
      <c r="M7" s="182"/>
      <c r="N7" s="183">
        <f t="shared" si="3"/>
        <v>-2675.4082956499396</v>
      </c>
      <c r="O7" s="184">
        <f t="shared" si="4"/>
        <v>0</v>
      </c>
      <c r="P7" s="185">
        <f>M7/1000</f>
        <v>0</v>
      </c>
      <c r="Q7" s="185">
        <f t="shared" si="5"/>
        <v>1.3377041478249698</v>
      </c>
      <c r="R7" s="186">
        <f t="shared" si="6"/>
        <v>2.6754082956499396</v>
      </c>
    </row>
    <row r="8" spans="1:36" ht="30" x14ac:dyDescent="0.25">
      <c r="A8" s="165" t="s">
        <v>265</v>
      </c>
      <c r="B8" s="198">
        <f>toimet!E15</f>
        <v>20000</v>
      </c>
      <c r="C8" s="199">
        <v>0</v>
      </c>
      <c r="D8" s="198">
        <f>B8</f>
        <v>20000</v>
      </c>
      <c r="E8" s="198">
        <v>0</v>
      </c>
      <c r="F8" s="198">
        <f>B8</f>
        <v>20000</v>
      </c>
      <c r="G8" s="180">
        <f>(-$U$6--CRF4B!$J$4)*C8</f>
        <v>0</v>
      </c>
      <c r="H8" s="180">
        <f t="shared" si="0"/>
        <v>-161333.3333333334</v>
      </c>
      <c r="I8" s="180"/>
      <c r="J8" s="180">
        <f t="shared" si="1"/>
        <v>-32779.999999999985</v>
      </c>
      <c r="K8" s="180">
        <f>-huuhtouma!H16</f>
        <v>-1257.3471428571434</v>
      </c>
      <c r="L8" s="181">
        <f t="shared" si="2"/>
        <v>0</v>
      </c>
      <c r="M8" s="182">
        <f>SUM(I8,J8,K8)</f>
        <v>-34037.347142857128</v>
      </c>
      <c r="N8" s="183">
        <f t="shared" si="3"/>
        <v>-161333.3333333334</v>
      </c>
      <c r="O8" s="185">
        <f>-M8/$B8</f>
        <v>1.7018673571428564</v>
      </c>
      <c r="P8" s="185">
        <f>-M8/1000</f>
        <v>34.037347142857129</v>
      </c>
      <c r="Q8" s="185">
        <f t="shared" si="5"/>
        <v>8.06666666666667</v>
      </c>
      <c r="R8" s="186">
        <f>-N8/1000</f>
        <v>161.3333333333334</v>
      </c>
      <c r="T8" t="s">
        <v>168</v>
      </c>
      <c r="U8">
        <v>2019</v>
      </c>
    </row>
    <row r="9" spans="1:36" x14ac:dyDescent="0.25">
      <c r="A9" s="165" t="s">
        <v>264</v>
      </c>
      <c r="B9" s="198">
        <f>toimet!E16</f>
        <v>-1591</v>
      </c>
      <c r="C9" s="198">
        <f>B9-D9</f>
        <v>-286.38000000000011</v>
      </c>
      <c r="D9" s="198">
        <f>0.82*B9</f>
        <v>-1304.6199999999999</v>
      </c>
      <c r="E9" s="198">
        <f>(1-$AJ$14)*C9</f>
        <v>-167.55822558353526</v>
      </c>
      <c r="F9" s="198">
        <f>(1-$AJ$15)*D9</f>
        <v>-511.79048213590215</v>
      </c>
      <c r="G9" s="180">
        <f>(-$U$6--CRF4B!$J$4)*C9</f>
        <v>319.56074696925913</v>
      </c>
      <c r="H9" s="180">
        <f>$W$1*F9</f>
        <v>4128.4432225629462</v>
      </c>
      <c r="I9" s="180"/>
      <c r="J9" s="180">
        <f t="shared" si="1"/>
        <v>838.82460022074326</v>
      </c>
      <c r="K9" s="180">
        <f>huuhtouma!H19</f>
        <v>50.22364285714287</v>
      </c>
      <c r="L9" s="181">
        <f t="shared" si="2"/>
        <v>-0.2008552777933747</v>
      </c>
      <c r="M9" s="182">
        <f>SUM(I9,J9,K9)</f>
        <v>889.04824307788613</v>
      </c>
      <c r="N9" s="183">
        <f t="shared" si="3"/>
        <v>4448.0039695322057</v>
      </c>
      <c r="O9" s="185">
        <f t="shared" ref="O9:O10" si="7">-M9/$B9</f>
        <v>0.55879839288364941</v>
      </c>
      <c r="P9" s="186">
        <f t="shared" ref="P9:P11" si="8">-M9/1000</f>
        <v>-0.8890482430778861</v>
      </c>
      <c r="Q9" s="185">
        <f t="shared" si="5"/>
        <v>2.7957284535086147</v>
      </c>
      <c r="R9" s="185">
        <f>-N9/1000</f>
        <v>-4.4480039695322056</v>
      </c>
    </row>
    <row r="10" spans="1:36" x14ac:dyDescent="0.25">
      <c r="A10" s="165" t="s">
        <v>277</v>
      </c>
      <c r="B10" s="198">
        <f>toimet!E11</f>
        <v>183000</v>
      </c>
      <c r="C10" s="198"/>
      <c r="D10" s="198"/>
      <c r="E10" s="198"/>
      <c r="F10" s="198"/>
      <c r="G10" s="187">
        <f>L10*B10</f>
        <v>-83875</v>
      </c>
      <c r="H10" s="180"/>
      <c r="I10" s="180"/>
      <c r="J10" s="180"/>
      <c r="K10" s="181">
        <f>-huuhtouma!H13</f>
        <v>-3534.971785714285</v>
      </c>
      <c r="L10" s="181">
        <f>-44/12*0.125</f>
        <v>-0.45833333333333331</v>
      </c>
      <c r="M10" s="182">
        <f>SUM(I10,J10,K10)</f>
        <v>-3534.971785714285</v>
      </c>
      <c r="N10" s="183">
        <f t="shared" si="3"/>
        <v>-83875</v>
      </c>
      <c r="O10" s="184">
        <f t="shared" si="7"/>
        <v>1.931678571428571E-2</v>
      </c>
      <c r="P10" s="185">
        <f t="shared" si="8"/>
        <v>3.5349717857142848</v>
      </c>
      <c r="Q10" s="185">
        <f t="shared" si="5"/>
        <v>0.45833333333333331</v>
      </c>
      <c r="R10" s="186">
        <f t="shared" ref="R10:R11" si="9">-N10/1000</f>
        <v>83.875</v>
      </c>
    </row>
    <row r="11" spans="1:36" ht="30" x14ac:dyDescent="0.25">
      <c r="A11" s="165" t="s">
        <v>284</v>
      </c>
      <c r="B11" s="198">
        <f>toimet!E12</f>
        <v>97000</v>
      </c>
      <c r="C11" s="198"/>
      <c r="D11" s="198"/>
      <c r="E11" s="198"/>
      <c r="F11" s="198"/>
      <c r="G11" s="180">
        <f>L11*B11</f>
        <v>-108950.01081087408</v>
      </c>
      <c r="H11" s="180"/>
      <c r="I11" s="180"/>
      <c r="J11" s="180"/>
      <c r="K11" s="180"/>
      <c r="L11" s="181">
        <f>(-44/12*0.223)--CRF4B!$J$4</f>
        <v>-1.1231959877409698</v>
      </c>
      <c r="M11" s="182"/>
      <c r="N11" s="183">
        <f t="shared" si="3"/>
        <v>-108950.01081087408</v>
      </c>
      <c r="O11" s="184"/>
      <c r="P11" s="185">
        <f t="shared" si="8"/>
        <v>0</v>
      </c>
      <c r="Q11" s="185">
        <f t="shared" si="5"/>
        <v>1.1231959877409698</v>
      </c>
      <c r="R11" s="186">
        <f t="shared" si="9"/>
        <v>108.95001081087408</v>
      </c>
    </row>
    <row r="12" spans="1:36" x14ac:dyDescent="0.25">
      <c r="D12" s="227"/>
      <c r="E12" s="227"/>
      <c r="F12" s="227"/>
      <c r="G12" s="1"/>
      <c r="H12" s="1"/>
      <c r="I12" s="1"/>
      <c r="J12" s="1"/>
      <c r="K12" s="1"/>
      <c r="L12" s="1"/>
      <c r="M12" s="1"/>
      <c r="N12" s="1"/>
      <c r="O12" s="1"/>
      <c r="P12" s="1"/>
      <c r="Q12" s="1"/>
      <c r="R12" s="1"/>
      <c r="T12" t="s">
        <v>169</v>
      </c>
      <c r="U12" t="s">
        <v>170</v>
      </c>
      <c r="V12" t="s">
        <v>189</v>
      </c>
    </row>
    <row r="13" spans="1:36" x14ac:dyDescent="0.25">
      <c r="R13" s="1"/>
      <c r="T13" t="s">
        <v>171</v>
      </c>
      <c r="U13" t="s">
        <v>172</v>
      </c>
      <c r="V13" t="s">
        <v>173</v>
      </c>
      <c r="W13" t="s">
        <v>174</v>
      </c>
      <c r="X13" t="s">
        <v>175</v>
      </c>
      <c r="Y13" t="s">
        <v>176</v>
      </c>
      <c r="Z13" t="s">
        <v>177</v>
      </c>
      <c r="AA13" t="s">
        <v>178</v>
      </c>
      <c r="AB13" t="s">
        <v>179</v>
      </c>
      <c r="AC13" t="s">
        <v>180</v>
      </c>
      <c r="AD13" t="s">
        <v>181</v>
      </c>
      <c r="AE13" t="s">
        <v>182</v>
      </c>
      <c r="AF13" t="s">
        <v>183</v>
      </c>
      <c r="AG13" t="s">
        <v>184</v>
      </c>
      <c r="AH13" t="s">
        <v>185</v>
      </c>
      <c r="AI13" t="s">
        <v>186</v>
      </c>
    </row>
    <row r="14" spans="1:36" ht="13.5" customHeight="1" x14ac:dyDescent="0.25">
      <c r="C14" s="227"/>
      <c r="D14" s="227"/>
      <c r="F14" s="227"/>
      <c r="T14" t="s">
        <v>187</v>
      </c>
      <c r="U14">
        <v>89396.257351699853</v>
      </c>
      <c r="V14">
        <v>288991.89979439898</v>
      </c>
      <c r="W14">
        <v>112313.03660637203</v>
      </c>
      <c r="X14">
        <v>146491.01024429465</v>
      </c>
      <c r="Y14">
        <v>163412.07579570968</v>
      </c>
      <c r="Z14">
        <v>423372.48789414344</v>
      </c>
      <c r="AA14">
        <v>20936.295310670452</v>
      </c>
      <c r="AB14">
        <v>18712.909616117009</v>
      </c>
      <c r="AC14">
        <v>37325.375209924241</v>
      </c>
      <c r="AD14">
        <v>18505.341245975414</v>
      </c>
      <c r="AE14">
        <v>746900.37978079368</v>
      </c>
      <c r="AF14">
        <v>36990.145421636487</v>
      </c>
      <c r="AG14">
        <v>10505.384430613069</v>
      </c>
      <c r="AH14">
        <v>39367.4447775976</v>
      </c>
      <c r="AI14">
        <v>2153220.0434799464</v>
      </c>
      <c r="AJ14" s="70">
        <f>SUM(X14,AE14)/AI14</f>
        <v>0.41490947138928985</v>
      </c>
    </row>
    <row r="15" spans="1:36" ht="13.5" customHeight="1" x14ac:dyDescent="0.25">
      <c r="T15" t="s">
        <v>188</v>
      </c>
      <c r="U15">
        <v>4807.0026483001793</v>
      </c>
      <c r="V15">
        <v>30523.010205601018</v>
      </c>
      <c r="W15">
        <v>10695.613393628042</v>
      </c>
      <c r="X15">
        <v>22523.219755705297</v>
      </c>
      <c r="Y15">
        <v>5190.7042042903431</v>
      </c>
      <c r="Z15">
        <v>31772.002105856576</v>
      </c>
      <c r="AA15">
        <v>793.25468932955039</v>
      </c>
      <c r="AB15">
        <v>509.14038388299815</v>
      </c>
      <c r="AC15">
        <v>1085.804790075747</v>
      </c>
      <c r="AD15">
        <v>1464.1087540245933</v>
      </c>
      <c r="AE15">
        <v>126194.3902192063</v>
      </c>
      <c r="AF15">
        <v>8449.4845783635119</v>
      </c>
      <c r="AG15">
        <v>146.645569386928</v>
      </c>
      <c r="AH15">
        <v>564.01522240243037</v>
      </c>
      <c r="AI15">
        <v>244718.39652005353</v>
      </c>
      <c r="AJ15" s="70">
        <f>SUM(X15,AE15)/AI15</f>
        <v>0.60770915505212075</v>
      </c>
    </row>
    <row r="16" spans="1:36" ht="13.5" customHeight="1" x14ac:dyDescent="0.25">
      <c r="T16" t="s">
        <v>186</v>
      </c>
      <c r="U16">
        <v>94203.260000000038</v>
      </c>
      <c r="V16">
        <v>319514.90999999997</v>
      </c>
      <c r="W16">
        <v>123008.65000000007</v>
      </c>
      <c r="X16">
        <v>169014.22999999995</v>
      </c>
      <c r="Y16">
        <v>168602.78000000003</v>
      </c>
      <c r="Z16">
        <v>455144.49</v>
      </c>
      <c r="AA16">
        <v>21729.550000000003</v>
      </c>
      <c r="AB16">
        <v>19222.050000000007</v>
      </c>
      <c r="AC16">
        <v>38411.179999999986</v>
      </c>
      <c r="AD16">
        <v>19969.450000000008</v>
      </c>
      <c r="AE16">
        <v>873094.77</v>
      </c>
      <c r="AF16">
        <v>45439.63</v>
      </c>
      <c r="AG16">
        <v>10652.029999999997</v>
      </c>
      <c r="AH16">
        <v>39931.460000000028</v>
      </c>
      <c r="AI16">
        <v>2397938.44</v>
      </c>
    </row>
    <row r="18" spans="1:46" x14ac:dyDescent="0.25">
      <c r="T18" t="s">
        <v>269</v>
      </c>
    </row>
    <row r="19" spans="1:46" x14ac:dyDescent="0.25">
      <c r="O19" s="72"/>
      <c r="P19" s="72"/>
      <c r="Q19" s="72"/>
      <c r="R19" s="72"/>
      <c r="T19" t="s">
        <v>164</v>
      </c>
      <c r="U19" s="7">
        <f>-CRF4B!J4</f>
        <v>0.30552932107430331</v>
      </c>
      <c r="V19" s="1">
        <f>-CRF4B!K4</f>
        <v>23.840434864031057</v>
      </c>
    </row>
    <row r="20" spans="1:46" x14ac:dyDescent="0.25">
      <c r="B20" s="228"/>
      <c r="C20" s="228"/>
      <c r="D20" s="228"/>
      <c r="F20" s="228"/>
      <c r="O20" s="156"/>
      <c r="P20" s="156"/>
      <c r="Q20" s="156"/>
      <c r="R20" s="156"/>
      <c r="T20" t="s">
        <v>156</v>
      </c>
      <c r="U20" s="1">
        <f>-CRF4B!J4*nurmet_kerääjäk_maanparannusk!C3</f>
        <v>188.22762362230156</v>
      </c>
      <c r="V20" s="1">
        <f>-CRF4B!K4*nurmet_kerääjäk_maanparannusk!D3</f>
        <v>1783.6197733977538</v>
      </c>
    </row>
    <row r="21" spans="1:46" x14ac:dyDescent="0.25">
      <c r="B21" s="228"/>
      <c r="C21" s="228"/>
      <c r="D21" s="228"/>
      <c r="F21" s="228"/>
      <c r="S21" s="72"/>
      <c r="T21" t="s">
        <v>165</v>
      </c>
      <c r="U21" s="69">
        <f>CRF3D!E16/CRF4B!D11</f>
        <v>1.0070946803588227E-4</v>
      </c>
      <c r="V21" s="6">
        <f>CRF3D!E17/CRF4B!E10</f>
        <v>1.9162352260304213E-2</v>
      </c>
    </row>
    <row r="22" spans="1:46" x14ac:dyDescent="0.25">
      <c r="B22" s="228"/>
      <c r="C22" s="228"/>
      <c r="D22" s="228"/>
      <c r="F22" s="228"/>
      <c r="S22" s="72"/>
      <c r="T22" t="s">
        <v>157</v>
      </c>
      <c r="U22" s="5">
        <f>U21*nurmet_kerääjäk_maanparannusk!C3</f>
        <v>6.2044139587015851E-2</v>
      </c>
      <c r="V22" s="5">
        <f>V21*nurmet_kerääjäk_maanparannusk!D3</f>
        <v>1.4336294866776056</v>
      </c>
    </row>
    <row r="23" spans="1:46" x14ac:dyDescent="0.25">
      <c r="B23" s="228"/>
      <c r="C23" s="228"/>
      <c r="D23" s="228"/>
      <c r="F23" s="228"/>
      <c r="S23" s="72"/>
      <c r="T23" t="s">
        <v>166</v>
      </c>
      <c r="U23" s="7">
        <f>GWP!$B$4*nurmet_kerääjäk_maanparannusk!U21</f>
        <v>3.0011421474692917E-2</v>
      </c>
      <c r="V23" s="7">
        <f>GWP!$B$4*nurmet_kerääjäk_maanparannusk!V21</f>
        <v>5.710380973570655</v>
      </c>
      <c r="AK23" s="72"/>
      <c r="AL23" s="72"/>
      <c r="AM23" s="72"/>
      <c r="AN23" s="72"/>
    </row>
    <row r="24" spans="1:46" x14ac:dyDescent="0.25">
      <c r="E24" s="229"/>
      <c r="S24" s="72"/>
      <c r="T24" t="s">
        <v>158</v>
      </c>
      <c r="U24" s="1">
        <f>GWP!$B$4*nurmet_kerääjäk_maanparannusk!U22</f>
        <v>18.489153596930723</v>
      </c>
      <c r="V24" s="1">
        <f>GWP!$B$4*nurmet_kerääjäk_maanparannusk!V22</f>
        <v>427.22158702992647</v>
      </c>
      <c r="AK24" s="72"/>
      <c r="AL24" s="72"/>
      <c r="AM24" s="72"/>
      <c r="AN24" s="72"/>
      <c r="AO24" s="72"/>
      <c r="AP24" s="72"/>
      <c r="AQ24" s="72"/>
      <c r="AR24" s="72"/>
    </row>
    <row r="25" spans="1:46" x14ac:dyDescent="0.25">
      <c r="E25" s="229"/>
      <c r="S25" s="72"/>
      <c r="AK25" s="72"/>
      <c r="AL25" s="72"/>
      <c r="AM25" s="72"/>
      <c r="AN25" s="72"/>
      <c r="AO25" s="72"/>
      <c r="AP25" s="72"/>
      <c r="AQ25" s="72"/>
      <c r="AR25" s="72"/>
      <c r="AS25" s="72"/>
      <c r="AT25" s="72"/>
    </row>
    <row r="26" spans="1:46" x14ac:dyDescent="0.25">
      <c r="E26" s="229"/>
      <c r="S26" s="72"/>
      <c r="AK26" s="72"/>
      <c r="AL26" s="72"/>
      <c r="AM26" s="72"/>
      <c r="AN26" s="72"/>
      <c r="AO26" s="72"/>
      <c r="AP26" s="72"/>
      <c r="AQ26" s="72"/>
      <c r="AR26" s="72"/>
      <c r="AS26" s="72"/>
      <c r="AT26" s="72"/>
    </row>
    <row r="27" spans="1:46" x14ac:dyDescent="0.25">
      <c r="E27" s="229"/>
      <c r="S27" s="72"/>
      <c r="AK27" s="72"/>
      <c r="AL27" s="72"/>
      <c r="AM27" s="72"/>
      <c r="AN27" s="72"/>
      <c r="AO27" s="72"/>
      <c r="AP27" s="72"/>
      <c r="AQ27" s="72"/>
      <c r="AR27" s="72"/>
      <c r="AS27" s="72"/>
      <c r="AT27" s="72"/>
    </row>
    <row r="28" spans="1:46" x14ac:dyDescent="0.25">
      <c r="B28" s="228"/>
      <c r="C28" s="228"/>
      <c r="D28" s="230"/>
      <c r="E28" s="228"/>
      <c r="F28" s="228"/>
      <c r="G28" s="72"/>
      <c r="H28" s="72"/>
      <c r="I28" s="72"/>
      <c r="J28" s="72"/>
      <c r="K28" s="72"/>
      <c r="L28" s="72"/>
      <c r="M28" s="72"/>
      <c r="N28" s="72"/>
      <c r="O28" s="72"/>
      <c r="P28" s="72"/>
      <c r="Q28" s="72"/>
      <c r="R28" s="72"/>
      <c r="S28" s="72"/>
      <c r="AK28" s="72"/>
      <c r="AL28" s="72"/>
      <c r="AM28" s="72"/>
      <c r="AN28" s="72"/>
      <c r="AO28" s="72"/>
      <c r="AP28" s="72"/>
      <c r="AQ28" s="72"/>
      <c r="AR28" s="72"/>
      <c r="AS28" s="72"/>
      <c r="AT28" s="72"/>
    </row>
    <row r="29" spans="1:46" x14ac:dyDescent="0.25">
      <c r="B29" s="228"/>
      <c r="C29" s="228"/>
      <c r="D29" s="230"/>
      <c r="E29" s="228"/>
      <c r="F29" s="228"/>
      <c r="G29" s="72"/>
      <c r="H29" s="72"/>
      <c r="I29" s="72"/>
      <c r="J29" s="72"/>
      <c r="K29" s="72"/>
      <c r="L29" s="72"/>
      <c r="M29" s="72"/>
      <c r="N29" s="72"/>
      <c r="O29" s="72"/>
      <c r="P29" s="72"/>
      <c r="Q29" s="72"/>
      <c r="R29" s="72"/>
      <c r="S29" s="72"/>
      <c r="AK29" s="72"/>
      <c r="AL29" s="72"/>
      <c r="AM29" s="72"/>
      <c r="AN29" s="72"/>
      <c r="AO29" s="72"/>
      <c r="AP29" s="72"/>
      <c r="AQ29" s="72"/>
      <c r="AR29" s="72"/>
      <c r="AS29" s="72"/>
      <c r="AT29" s="72"/>
    </row>
    <row r="30" spans="1:46" x14ac:dyDescent="0.25">
      <c r="B30" s="228"/>
      <c r="C30" s="228"/>
      <c r="D30" s="230"/>
      <c r="E30" s="228"/>
      <c r="F30" s="228"/>
      <c r="G30" s="72"/>
      <c r="H30" s="72"/>
      <c r="I30" s="72"/>
      <c r="J30" s="72"/>
      <c r="K30" s="72"/>
      <c r="L30" s="72"/>
      <c r="M30" s="72"/>
      <c r="N30" s="72"/>
      <c r="O30" s="72"/>
      <c r="P30" s="72"/>
      <c r="Q30" s="72"/>
      <c r="R30" s="72"/>
      <c r="S30" s="72"/>
      <c r="W30" s="72"/>
      <c r="X30" s="72"/>
      <c r="Y30" s="72"/>
      <c r="Z30" s="72"/>
      <c r="AA30" s="72"/>
      <c r="AB30" s="72"/>
      <c r="AK30" s="72"/>
      <c r="AL30" s="72"/>
      <c r="AM30" s="72"/>
      <c r="AN30" s="72"/>
      <c r="AO30" s="72"/>
      <c r="AP30" s="72"/>
      <c r="AQ30" s="72"/>
      <c r="AR30" s="72"/>
      <c r="AS30" s="72"/>
      <c r="AT30" s="72"/>
    </row>
    <row r="31" spans="1:46" s="72" customFormat="1" x14ac:dyDescent="0.25">
      <c r="A31" s="165"/>
      <c r="B31" s="228"/>
      <c r="C31" s="228"/>
      <c r="D31" s="230"/>
      <c r="E31" s="228"/>
      <c r="F31" s="228"/>
    </row>
    <row r="32" spans="1:46" s="72" customFormat="1" x14ac:dyDescent="0.25">
      <c r="A32" s="169"/>
      <c r="B32" s="228"/>
      <c r="C32" s="228"/>
      <c r="D32" s="230"/>
      <c r="E32" s="228"/>
      <c r="F32" s="228"/>
    </row>
    <row r="33" spans="1:46" s="72" customFormat="1" x14ac:dyDescent="0.25">
      <c r="A33" s="169"/>
      <c r="B33" s="228"/>
      <c r="C33" s="228"/>
      <c r="D33" s="230"/>
      <c r="E33" s="228"/>
      <c r="F33" s="228"/>
    </row>
    <row r="34" spans="1:46" s="72" customFormat="1" x14ac:dyDescent="0.25">
      <c r="A34" s="169"/>
      <c r="B34" s="228"/>
      <c r="C34" s="228"/>
      <c r="D34" s="230"/>
      <c r="E34" s="228"/>
      <c r="F34" s="228"/>
    </row>
    <row r="35" spans="1:46" s="72" customFormat="1" x14ac:dyDescent="0.25">
      <c r="A35" s="169"/>
      <c r="B35" s="228"/>
      <c r="C35" s="228"/>
      <c r="D35" s="230"/>
      <c r="E35" s="228"/>
      <c r="F35" s="228"/>
    </row>
    <row r="36" spans="1:46" s="72" customFormat="1" x14ac:dyDescent="0.25">
      <c r="A36" s="169"/>
      <c r="B36" s="228"/>
      <c r="C36" s="228"/>
      <c r="D36" s="230"/>
      <c r="E36" s="228"/>
      <c r="F36" s="228"/>
    </row>
    <row r="37" spans="1:46" s="72" customFormat="1" x14ac:dyDescent="0.25">
      <c r="A37" s="169"/>
      <c r="B37" s="228"/>
      <c r="C37" s="228"/>
      <c r="D37" s="230"/>
      <c r="E37" s="228"/>
      <c r="F37" s="228"/>
    </row>
    <row r="38" spans="1:46" s="72" customFormat="1" x14ac:dyDescent="0.25">
      <c r="A38" s="169"/>
      <c r="B38" s="228"/>
      <c r="C38" s="228"/>
      <c r="D38" s="230"/>
      <c r="E38" s="228"/>
      <c r="F38" s="228"/>
      <c r="S38"/>
    </row>
    <row r="39" spans="1:46" s="72" customFormat="1" x14ac:dyDescent="0.25">
      <c r="A39" s="169"/>
      <c r="B39" s="228"/>
      <c r="C39" s="228"/>
      <c r="D39" s="230"/>
      <c r="E39" s="228"/>
      <c r="F39" s="228"/>
      <c r="S39"/>
    </row>
    <row r="40" spans="1:46" s="72" customFormat="1" x14ac:dyDescent="0.25">
      <c r="A40" s="169"/>
      <c r="B40" s="228"/>
      <c r="C40" s="228"/>
      <c r="D40" s="230"/>
      <c r="E40" s="228"/>
      <c r="F40" s="228"/>
      <c r="S40"/>
      <c r="AK40"/>
      <c r="AL40"/>
      <c r="AM40"/>
      <c r="AN40"/>
    </row>
    <row r="41" spans="1:46" s="72" customFormat="1" x14ac:dyDescent="0.25">
      <c r="A41" s="169"/>
      <c r="B41" s="228"/>
      <c r="C41" s="228"/>
      <c r="D41" s="230"/>
      <c r="E41" s="228"/>
      <c r="F41" s="228"/>
      <c r="S41"/>
      <c r="AK41"/>
      <c r="AL41"/>
      <c r="AM41"/>
      <c r="AN41"/>
      <c r="AO41"/>
      <c r="AP41"/>
      <c r="AQ41"/>
      <c r="AR41"/>
    </row>
    <row r="42" spans="1:46" s="72" customFormat="1" x14ac:dyDescent="0.25">
      <c r="A42" s="169"/>
      <c r="B42" s="228"/>
      <c r="C42" s="228"/>
      <c r="D42" s="230"/>
      <c r="E42" s="228"/>
      <c r="F42" s="228"/>
      <c r="S42"/>
      <c r="AK42"/>
      <c r="AL42"/>
      <c r="AM42"/>
      <c r="AN42"/>
      <c r="AO42"/>
      <c r="AP42"/>
      <c r="AQ42"/>
      <c r="AR42"/>
      <c r="AS42"/>
      <c r="AT42"/>
    </row>
    <row r="43" spans="1:46" s="72" customFormat="1" x14ac:dyDescent="0.25">
      <c r="A43" s="169"/>
      <c r="B43" s="228"/>
      <c r="C43" s="228"/>
      <c r="D43" s="230"/>
      <c r="E43" s="228"/>
      <c r="F43" s="228"/>
      <c r="S43"/>
      <c r="AK43"/>
      <c r="AL43"/>
      <c r="AM43"/>
      <c r="AN43"/>
      <c r="AO43"/>
      <c r="AP43"/>
      <c r="AQ43"/>
      <c r="AR43"/>
      <c r="AS43"/>
      <c r="AT43"/>
    </row>
    <row r="44" spans="1:46" s="72" customFormat="1" x14ac:dyDescent="0.25">
      <c r="A44" s="169"/>
      <c r="B44" s="228"/>
      <c r="C44" s="228"/>
      <c r="D44" s="230"/>
      <c r="E44" s="228"/>
      <c r="F44" s="228"/>
      <c r="S44"/>
      <c r="AK44"/>
      <c r="AL44"/>
      <c r="AM44"/>
      <c r="AN44"/>
      <c r="AO44"/>
      <c r="AP44"/>
      <c r="AQ44"/>
      <c r="AR44"/>
      <c r="AS44"/>
      <c r="AT44"/>
    </row>
    <row r="45" spans="1:46" s="72" customFormat="1" x14ac:dyDescent="0.25">
      <c r="A45" s="165"/>
      <c r="B45" s="155"/>
      <c r="C45" s="155"/>
      <c r="D45" s="155"/>
      <c r="E45" s="228"/>
      <c r="F45" s="155"/>
      <c r="G45"/>
      <c r="H45"/>
      <c r="I45"/>
      <c r="J45"/>
      <c r="K45"/>
      <c r="L45"/>
      <c r="M45"/>
      <c r="N45"/>
      <c r="O45"/>
      <c r="P45"/>
      <c r="Q45"/>
      <c r="R45"/>
      <c r="S45"/>
      <c r="AK45"/>
      <c r="AL45"/>
      <c r="AM45"/>
      <c r="AN45"/>
      <c r="AO45"/>
      <c r="AP45"/>
      <c r="AQ45"/>
      <c r="AR45"/>
      <c r="AS45"/>
      <c r="AT45"/>
    </row>
    <row r="46" spans="1:46" s="72" customFormat="1" x14ac:dyDescent="0.25">
      <c r="A46" s="165"/>
      <c r="B46" s="155"/>
      <c r="C46" s="155"/>
      <c r="D46" s="155"/>
      <c r="E46" s="155"/>
      <c r="F46" s="155"/>
      <c r="G46"/>
      <c r="H46"/>
      <c r="I46"/>
      <c r="J46"/>
      <c r="K46"/>
      <c r="L46"/>
      <c r="M46"/>
      <c r="N46"/>
      <c r="O46"/>
      <c r="P46"/>
      <c r="Q46"/>
      <c r="R46"/>
      <c r="S46"/>
      <c r="AK46"/>
      <c r="AL46"/>
      <c r="AM46"/>
      <c r="AN46"/>
      <c r="AO46"/>
      <c r="AP46"/>
      <c r="AQ46"/>
      <c r="AR46"/>
      <c r="AS46"/>
      <c r="AT46"/>
    </row>
    <row r="47" spans="1:46" s="72" customFormat="1" x14ac:dyDescent="0.25">
      <c r="A47" s="165"/>
      <c r="B47" s="155"/>
      <c r="C47" s="155"/>
      <c r="D47" s="155"/>
      <c r="E47" s="155"/>
      <c r="F47" s="155"/>
      <c r="G47"/>
      <c r="H47"/>
      <c r="I47"/>
      <c r="J47"/>
      <c r="K47"/>
      <c r="L47"/>
      <c r="M47"/>
      <c r="N47"/>
      <c r="O47"/>
      <c r="P47"/>
      <c r="Q47"/>
      <c r="R47"/>
      <c r="S47"/>
      <c r="W47"/>
      <c r="X47"/>
      <c r="Y47"/>
      <c r="Z47"/>
      <c r="AA47"/>
      <c r="AB47"/>
      <c r="AK47"/>
      <c r="AL47"/>
      <c r="AM47"/>
      <c r="AN47"/>
      <c r="AO47"/>
      <c r="AP47"/>
      <c r="AQ47"/>
      <c r="AR47"/>
      <c r="AS47"/>
      <c r="AT47"/>
    </row>
    <row r="59" spans="5:5" x14ac:dyDescent="0.25">
      <c r="E59" s="231"/>
    </row>
  </sheetData>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
  <sheetViews>
    <sheetView workbookViewId="0"/>
  </sheetViews>
  <sheetFormatPr defaultRowHeight="15" x14ac:dyDescent="0.25"/>
  <cols>
    <col min="1" max="1" width="33.5703125" customWidth="1"/>
    <col min="3" max="3" width="12.42578125" customWidth="1"/>
  </cols>
  <sheetData>
    <row r="1" spans="1:4" x14ac:dyDescent="0.25">
      <c r="A1" t="s">
        <v>602</v>
      </c>
      <c r="B1">
        <f>0.75*7.7</f>
        <v>5.7750000000000004</v>
      </c>
      <c r="C1" t="s">
        <v>588</v>
      </c>
      <c r="D1" t="s">
        <v>622</v>
      </c>
    </row>
    <row r="2" spans="1:4" x14ac:dyDescent="0.25">
      <c r="A2" s="152" t="s">
        <v>603</v>
      </c>
      <c r="B2">
        <v>3.75</v>
      </c>
      <c r="C2" t="s">
        <v>597</v>
      </c>
      <c r="D2" t="s">
        <v>622</v>
      </c>
    </row>
    <row r="3" spans="1:4" x14ac:dyDescent="0.25">
      <c r="A3" s="152" t="s">
        <v>598</v>
      </c>
      <c r="B3">
        <v>33000</v>
      </c>
      <c r="C3" t="s">
        <v>599</v>
      </c>
      <c r="D3" t="s">
        <v>622</v>
      </c>
    </row>
    <row r="5" spans="1:4" x14ac:dyDescent="0.25">
      <c r="A5" s="157" t="s">
        <v>593</v>
      </c>
      <c r="B5" s="158">
        <v>0.01</v>
      </c>
      <c r="C5" t="s">
        <v>592</v>
      </c>
    </row>
    <row r="6" spans="1:4" x14ac:dyDescent="0.25">
      <c r="A6" s="157" t="s">
        <v>594</v>
      </c>
      <c r="B6" s="159">
        <v>7.4999999999999997E-3</v>
      </c>
      <c r="C6" t="s">
        <v>592</v>
      </c>
    </row>
    <row r="7" spans="1:4" x14ac:dyDescent="0.25">
      <c r="A7" t="s">
        <v>595</v>
      </c>
      <c r="B7" s="159">
        <f>44/28</f>
        <v>1.5714285714285714</v>
      </c>
      <c r="C7" t="s">
        <v>596</v>
      </c>
    </row>
    <row r="8" spans="1:4" x14ac:dyDescent="0.25">
      <c r="A8" t="s">
        <v>601</v>
      </c>
      <c r="B8" s="159">
        <v>298</v>
      </c>
    </row>
    <row r="9" spans="1:4" x14ac:dyDescent="0.25">
      <c r="A9" s="85"/>
      <c r="B9" s="86"/>
    </row>
    <row r="10" spans="1:4" x14ac:dyDescent="0.25">
      <c r="A10" t="s">
        <v>590</v>
      </c>
      <c r="B10">
        <f>[1]luonnos_lietelannansijoitt!$B$26*B5*B1</f>
        <v>9.0750000000000011E-2</v>
      </c>
      <c r="C10" t="s">
        <v>591</v>
      </c>
    </row>
    <row r="11" spans="1:4" x14ac:dyDescent="0.25">
      <c r="A11" t="s">
        <v>589</v>
      </c>
      <c r="B11">
        <f>[1]luonnos_lietelannansijoitt!$B$26*B6*B2</f>
        <v>4.4196428571428567E-2</v>
      </c>
      <c r="C11" t="s">
        <v>597</v>
      </c>
    </row>
    <row r="12" spans="1:4" x14ac:dyDescent="0.25">
      <c r="A12" t="s">
        <v>600</v>
      </c>
      <c r="B12" s="69">
        <f>SUM(B10:B11)</f>
        <v>0.13494642857142858</v>
      </c>
      <c r="C12" t="s">
        <v>591</v>
      </c>
    </row>
    <row r="13" spans="1:4" x14ac:dyDescent="0.25">
      <c r="A13" t="s">
        <v>470</v>
      </c>
      <c r="B13">
        <f>B12*B3</f>
        <v>4453.2321428571431</v>
      </c>
      <c r="C13" t="s">
        <v>591</v>
      </c>
    </row>
    <row r="14" spans="1:4" x14ac:dyDescent="0.25">
      <c r="A14" t="s">
        <v>600</v>
      </c>
      <c r="B14" s="6">
        <f>B8*B12/1000</f>
        <v>4.0214035714285716E-2</v>
      </c>
      <c r="C14" t="s">
        <v>524</v>
      </c>
    </row>
    <row r="15" spans="1:4" x14ac:dyDescent="0.25">
      <c r="A15" t="s">
        <v>470</v>
      </c>
      <c r="B15" s="1">
        <f>B8*B13/1000000</f>
        <v>1.3270631785714286</v>
      </c>
      <c r="C15" t="s">
        <v>514</v>
      </c>
    </row>
  </sheetData>
  <phoneticPr fontId="34"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9"/>
  <sheetViews>
    <sheetView workbookViewId="0">
      <selection activeCell="F8" sqref="F8"/>
    </sheetView>
  </sheetViews>
  <sheetFormatPr defaultRowHeight="15" x14ac:dyDescent="0.25"/>
  <cols>
    <col min="1" max="1" width="36.5703125" style="165" bestFit="1" customWidth="1"/>
    <col min="2" max="2" width="15.42578125" bestFit="1" customWidth="1"/>
    <col min="3" max="3" width="16.140625" customWidth="1"/>
    <col min="4" max="4" width="13.42578125" customWidth="1"/>
    <col min="5" max="5" width="18.5703125" customWidth="1"/>
    <col min="6" max="6" width="17.140625" customWidth="1"/>
    <col min="7" max="7" width="14.42578125" customWidth="1"/>
    <col min="8" max="8" width="14.140625" bestFit="1" customWidth="1"/>
    <col min="9" max="9" width="36.85546875" bestFit="1" customWidth="1"/>
    <col min="10" max="10" width="36.7109375" bestFit="1" customWidth="1"/>
  </cols>
  <sheetData>
    <row r="1" spans="1:11" s="165" customFormat="1" ht="45" x14ac:dyDescent="0.25">
      <c r="B1" s="173" t="s">
        <v>491</v>
      </c>
      <c r="C1" s="165" t="s">
        <v>279</v>
      </c>
      <c r="D1" s="165" t="s">
        <v>472</v>
      </c>
      <c r="E1" s="165" t="s">
        <v>285</v>
      </c>
      <c r="F1" s="217" t="s">
        <v>286</v>
      </c>
      <c r="G1" s="218" t="s">
        <v>492</v>
      </c>
      <c r="H1" s="165" t="s">
        <v>288</v>
      </c>
      <c r="J1" s="219" t="s">
        <v>278</v>
      </c>
      <c r="K1" s="220">
        <v>7.4999999999999997E-3</v>
      </c>
    </row>
    <row r="2" spans="1:11" x14ac:dyDescent="0.25">
      <c r="A2" s="165" t="s">
        <v>485</v>
      </c>
      <c r="B2" s="187">
        <v>45000</v>
      </c>
      <c r="C2" s="187">
        <v>2.0499999999999998</v>
      </c>
      <c r="D2" s="187"/>
      <c r="E2" s="187">
        <f t="shared" ref="E2:E12" si="0">$K$1*C2*(44/28)</f>
        <v>2.4160714285714282E-2</v>
      </c>
      <c r="F2" s="189">
        <f>GWP!$B$4*huuhtouma!E2/1000</f>
        <v>7.1998928571428561E-3</v>
      </c>
      <c r="G2" s="190">
        <f t="shared" ref="G2:G7" si="1">H2/1000</f>
        <v>0.32399517857142857</v>
      </c>
      <c r="H2" s="180">
        <f t="shared" ref="H2:H7" si="2">B2*F2</f>
        <v>323.99517857142854</v>
      </c>
      <c r="J2" s="85"/>
      <c r="K2" s="86"/>
    </row>
    <row r="3" spans="1:11" x14ac:dyDescent="0.25">
      <c r="A3" s="165" t="s">
        <v>530</v>
      </c>
      <c r="B3" s="180">
        <f>D3/C3</f>
        <v>2697.080291970803</v>
      </c>
      <c r="C3" s="187">
        <v>27.4</v>
      </c>
      <c r="D3" s="187">
        <v>73900</v>
      </c>
      <c r="E3" s="187">
        <f t="shared" si="0"/>
        <v>0.3229285714285714</v>
      </c>
      <c r="F3" s="191">
        <f>GWP!$B$4*huuhtouma!E3/1000</f>
        <v>9.6232714285714283E-2</v>
      </c>
      <c r="G3" s="192">
        <f t="shared" si="1"/>
        <v>0.25954735714285715</v>
      </c>
      <c r="H3" s="180">
        <f t="shared" si="2"/>
        <v>259.54735714285715</v>
      </c>
      <c r="J3" s="85"/>
      <c r="K3" s="86"/>
    </row>
    <row r="4" spans="1:11" x14ac:dyDescent="0.25">
      <c r="A4" s="165" t="s">
        <v>490</v>
      </c>
      <c r="B4" s="180">
        <f>toimet!E5</f>
        <v>690.88547305122484</v>
      </c>
      <c r="C4" s="187">
        <v>10</v>
      </c>
      <c r="D4" s="187">
        <v>7052</v>
      </c>
      <c r="E4" s="187">
        <f t="shared" ref="E4" si="3">$K$1*C4*(44/28)</f>
        <v>0.11785714285714285</v>
      </c>
      <c r="F4" s="189">
        <f>GWP!$B$4*huuhtouma!E4/1000</f>
        <v>3.5121428571428574E-2</v>
      </c>
      <c r="G4" s="192">
        <f t="shared" si="1"/>
        <v>2.4264884792806234E-2</v>
      </c>
      <c r="H4" s="180">
        <f t="shared" si="2"/>
        <v>24.264884792806235</v>
      </c>
      <c r="J4" s="85"/>
      <c r="K4" s="86"/>
    </row>
    <row r="5" spans="1:11" x14ac:dyDescent="0.25">
      <c r="A5" s="165" t="s">
        <v>484</v>
      </c>
      <c r="B5" s="187"/>
      <c r="C5" s="187">
        <v>59</v>
      </c>
      <c r="D5" s="187"/>
      <c r="E5" s="187">
        <f t="shared" ref="E5" si="4">$K$1*C5*(44/28)</f>
        <v>0.6953571428571429</v>
      </c>
      <c r="F5" s="189">
        <f>GWP!$B$4*huuhtouma!E5/1000</f>
        <v>0.20721642857142861</v>
      </c>
      <c r="G5" s="192">
        <f t="shared" si="1"/>
        <v>0</v>
      </c>
      <c r="H5" s="180">
        <f t="shared" si="2"/>
        <v>0</v>
      </c>
      <c r="J5" s="85"/>
      <c r="K5" s="86"/>
    </row>
    <row r="6" spans="1:11" ht="30" x14ac:dyDescent="0.25">
      <c r="A6" s="165" t="s">
        <v>493</v>
      </c>
      <c r="B6" s="180">
        <f>D6/C6</f>
        <v>9000</v>
      </c>
      <c r="C6" s="187">
        <v>2.0499999999999998</v>
      </c>
      <c r="D6" s="187">
        <v>18450</v>
      </c>
      <c r="E6" s="187">
        <f t="shared" si="0"/>
        <v>2.4160714285714282E-2</v>
      </c>
      <c r="F6" s="191">
        <f>GWP!$B$4*huuhtouma!E6/1000</f>
        <v>7.1998928571428561E-3</v>
      </c>
      <c r="G6" s="192">
        <f t="shared" si="1"/>
        <v>6.4799035714285705E-2</v>
      </c>
      <c r="H6" s="180">
        <f t="shared" si="2"/>
        <v>64.799035714285708</v>
      </c>
      <c r="J6" s="85"/>
      <c r="K6" s="86"/>
    </row>
    <row r="7" spans="1:11" ht="30" x14ac:dyDescent="0.25">
      <c r="A7" s="165" t="s">
        <v>486</v>
      </c>
      <c r="B7" s="187">
        <v>1500</v>
      </c>
      <c r="C7" s="187">
        <v>2.0499999999999998</v>
      </c>
      <c r="D7" s="187"/>
      <c r="E7" s="187">
        <f t="shared" si="0"/>
        <v>2.4160714285714282E-2</v>
      </c>
      <c r="F7" s="189">
        <f>GWP!$B$4*huuhtouma!E7/1000</f>
        <v>7.1998928571428561E-3</v>
      </c>
      <c r="G7" s="192">
        <f t="shared" si="1"/>
        <v>1.0799839285714284E-2</v>
      </c>
      <c r="H7" s="180">
        <f t="shared" si="2"/>
        <v>10.799839285714285</v>
      </c>
    </row>
    <row r="8" spans="1:11" x14ac:dyDescent="0.25">
      <c r="A8" s="165" t="s">
        <v>487</v>
      </c>
      <c r="B8" s="187"/>
      <c r="C8" s="187">
        <v>16.8</v>
      </c>
      <c r="D8" s="187"/>
      <c r="E8" s="187">
        <f t="shared" ref="E8" si="5">$K$1*C8*(44/28)</f>
        <v>0.19800000000000001</v>
      </c>
      <c r="F8" s="189">
        <f>GWP!$B$4*huuhtouma!E8/1000</f>
        <v>5.9004000000000008E-2</v>
      </c>
      <c r="G8" s="193"/>
      <c r="H8" s="194"/>
    </row>
    <row r="9" spans="1:11" x14ac:dyDescent="0.25">
      <c r="A9" s="165" t="s">
        <v>280</v>
      </c>
      <c r="B9" s="187">
        <v>14000</v>
      </c>
      <c r="C9" s="187">
        <v>15.4</v>
      </c>
      <c r="D9" s="187"/>
      <c r="E9" s="187">
        <f t="shared" si="0"/>
        <v>0.18149999999999999</v>
      </c>
      <c r="F9" s="189">
        <f>GWP!$B$4*huuhtouma!E9/1000</f>
        <v>5.4086999999999996E-2</v>
      </c>
      <c r="G9" s="192">
        <f t="shared" ref="G9:G10" si="6">H9/1000</f>
        <v>0.75721799999999995</v>
      </c>
      <c r="H9" s="180">
        <f t="shared" ref="H9:H13" si="7">B9*F9</f>
        <v>757.21799999999996</v>
      </c>
    </row>
    <row r="10" spans="1:11" x14ac:dyDescent="0.25">
      <c r="A10" s="165" t="s">
        <v>281</v>
      </c>
      <c r="B10" s="187">
        <v>10000</v>
      </c>
      <c r="C10" s="187">
        <v>4.0999999999999996</v>
      </c>
      <c r="D10" s="187"/>
      <c r="E10" s="187">
        <f t="shared" si="0"/>
        <v>4.8321428571428564E-2</v>
      </c>
      <c r="F10" s="189">
        <f>GWP!$B$4*huuhtouma!E10/1000</f>
        <v>1.4399785714285712E-2</v>
      </c>
      <c r="G10" s="192">
        <f t="shared" si="6"/>
        <v>0.14399785714285712</v>
      </c>
      <c r="H10" s="180">
        <f t="shared" si="7"/>
        <v>143.99785714285713</v>
      </c>
    </row>
    <row r="11" spans="1:11" x14ac:dyDescent="0.25">
      <c r="A11" s="165" t="s">
        <v>471</v>
      </c>
      <c r="B11" s="180">
        <f>D11/C11</f>
        <v>293000</v>
      </c>
      <c r="C11" s="187">
        <v>6.68</v>
      </c>
      <c r="D11" s="187">
        <f>(126000+167000)*6.68</f>
        <v>1957240</v>
      </c>
      <c r="E11" s="195">
        <f t="shared" si="0"/>
        <v>7.8728571428571426E-2</v>
      </c>
      <c r="F11" s="189">
        <f>GWP!$B$4*huuhtouma!E11/1000</f>
        <v>2.3461114285714284E-2</v>
      </c>
      <c r="G11" s="192">
        <f>H11/1000</f>
        <v>6.874106485714286</v>
      </c>
      <c r="H11" s="180">
        <f t="shared" si="7"/>
        <v>6874.1064857142856</v>
      </c>
    </row>
    <row r="12" spans="1:11" x14ac:dyDescent="0.25">
      <c r="A12" s="165" t="s">
        <v>533</v>
      </c>
      <c r="B12" s="180">
        <f>D12/C12</f>
        <v>1835000</v>
      </c>
      <c r="C12" s="187">
        <v>0.76</v>
      </c>
      <c r="D12" s="187">
        <v>1394600</v>
      </c>
      <c r="E12" s="195">
        <f t="shared" si="0"/>
        <v>8.957142857142858E-3</v>
      </c>
      <c r="F12" s="191">
        <f>GWP!$B$4*huuhtouma!E12/1000</f>
        <v>2.6692285714285716E-3</v>
      </c>
      <c r="G12" s="192">
        <f>H12/1000</f>
        <v>4.898034428571429</v>
      </c>
      <c r="H12" s="180">
        <f t="shared" si="7"/>
        <v>4898.0344285714291</v>
      </c>
    </row>
    <row r="13" spans="1:11" x14ac:dyDescent="0.25">
      <c r="A13" s="165" t="s">
        <v>282</v>
      </c>
      <c r="B13" s="180">
        <f>toimet!E11</f>
        <v>183000</v>
      </c>
      <c r="C13" s="187">
        <v>5.5</v>
      </c>
      <c r="D13" s="187"/>
      <c r="E13" s="187">
        <f t="shared" ref="E13:E17" si="8">$K$1*C13*(44/28)</f>
        <v>6.4821428571428558E-2</v>
      </c>
      <c r="F13" s="189">
        <f>GWP!$B$4*huuhtouma!E13/1000</f>
        <v>1.931678571428571E-2</v>
      </c>
      <c r="G13" s="192"/>
      <c r="H13" s="180">
        <f t="shared" si="7"/>
        <v>3534.971785714285</v>
      </c>
    </row>
    <row r="14" spans="1:11" x14ac:dyDescent="0.25">
      <c r="A14" s="165" t="s">
        <v>22</v>
      </c>
      <c r="B14" s="180"/>
      <c r="C14" s="187"/>
      <c r="D14" s="187"/>
      <c r="E14" s="187"/>
      <c r="F14" s="189"/>
      <c r="G14" s="192"/>
      <c r="H14" s="180"/>
      <c r="I14" t="s">
        <v>620</v>
      </c>
    </row>
    <row r="15" spans="1:11" ht="30" x14ac:dyDescent="0.25">
      <c r="A15" s="165" t="s">
        <v>283</v>
      </c>
      <c r="B15" s="180">
        <f>D15/C15</f>
        <v>145000</v>
      </c>
      <c r="C15" s="187">
        <v>2.8</v>
      </c>
      <c r="D15" s="187">
        <v>406000</v>
      </c>
      <c r="E15" s="187">
        <f t="shared" si="8"/>
        <v>3.2999999999999995E-2</v>
      </c>
      <c r="F15" s="189">
        <f>GWP!$B$4*huuhtouma!E15/1000</f>
        <v>9.8339999999999973E-3</v>
      </c>
      <c r="G15" s="190">
        <f>H15/1000</f>
        <v>1.4259299999999997</v>
      </c>
      <c r="H15" s="180">
        <f t="shared" ref="H15:H17" si="9">B15*F15</f>
        <v>1425.9299999999996</v>
      </c>
    </row>
    <row r="16" spans="1:11" ht="30" x14ac:dyDescent="0.25">
      <c r="A16" s="165" t="s">
        <v>496</v>
      </c>
      <c r="B16" s="180">
        <f>D16/C16</f>
        <v>19888.888888888891</v>
      </c>
      <c r="C16" s="187">
        <v>18</v>
      </c>
      <c r="D16" s="187">
        <v>358000</v>
      </c>
      <c r="E16" s="187">
        <f t="shared" si="8"/>
        <v>0.21214285714285716</v>
      </c>
      <c r="F16" s="189">
        <f>GWP!$B$4*huuhtouma!E16/1000</f>
        <v>6.3218571428571443E-2</v>
      </c>
      <c r="G16" s="192"/>
      <c r="H16" s="180">
        <f t="shared" si="9"/>
        <v>1257.3471428571434</v>
      </c>
    </row>
    <row r="17" spans="1:8" x14ac:dyDescent="0.25">
      <c r="A17" s="165" t="s">
        <v>515</v>
      </c>
      <c r="B17" s="196">
        <f>SUM(kosteikot!O7:O9)</f>
        <v>900</v>
      </c>
      <c r="C17" s="187">
        <v>54</v>
      </c>
      <c r="D17" s="187"/>
      <c r="E17" s="195">
        <f t="shared" si="8"/>
        <v>0.63642857142857134</v>
      </c>
      <c r="F17" s="189">
        <f>GWP!$B$4*huuhtouma!E17/1000</f>
        <v>0.18965571428571426</v>
      </c>
      <c r="G17" s="192"/>
      <c r="H17" s="180">
        <f t="shared" si="9"/>
        <v>170.69014285714283</v>
      </c>
    </row>
    <row r="18" spans="1:8" x14ac:dyDescent="0.25">
      <c r="A18" s="165" t="s">
        <v>621</v>
      </c>
      <c r="B18" s="180">
        <f>D18/C18</f>
        <v>19957.081545064379</v>
      </c>
      <c r="C18" s="187">
        <v>2.33</v>
      </c>
      <c r="D18" s="187">
        <v>46500</v>
      </c>
      <c r="E18" s="195">
        <f t="shared" ref="E18:E19" si="10">$K$1*C18*(44/28)</f>
        <v>2.7460714285714286E-2</v>
      </c>
      <c r="F18" s="189">
        <f>GWP!$B$4*huuhtouma!E18/1000</f>
        <v>8.1832928571428584E-3</v>
      </c>
      <c r="G18" s="192">
        <f t="shared" ref="G18:G19" si="11">H18/1000</f>
        <v>0.16331464285714289</v>
      </c>
      <c r="H18" s="180">
        <f t="shared" ref="H18" si="12">B18*F18</f>
        <v>163.3146428571429</v>
      </c>
    </row>
    <row r="19" spans="1:8" x14ac:dyDescent="0.25">
      <c r="A19" s="165" t="s">
        <v>581</v>
      </c>
      <c r="B19" s="180">
        <f>D19/C19</f>
        <v>794.44444444444446</v>
      </c>
      <c r="C19" s="187">
        <v>18</v>
      </c>
      <c r="D19" s="187">
        <v>14300</v>
      </c>
      <c r="E19" s="195">
        <f t="shared" si="10"/>
        <v>0.21214285714285716</v>
      </c>
      <c r="F19" s="189">
        <f>GWP!$B$4*huuhtouma!E19/1000</f>
        <v>6.3218571428571443E-2</v>
      </c>
      <c r="G19" s="192">
        <f t="shared" si="11"/>
        <v>5.0223642857142869E-2</v>
      </c>
      <c r="H19" s="180">
        <f t="shared" ref="H19" si="13">B19*F19</f>
        <v>50.22364285714287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2"/>
  <sheetViews>
    <sheetView tabSelected="1" topLeftCell="A19" workbookViewId="0">
      <selection activeCell="I35" sqref="I35"/>
    </sheetView>
  </sheetViews>
  <sheetFormatPr defaultRowHeight="15" x14ac:dyDescent="0.25"/>
  <cols>
    <col min="1" max="1" width="54.140625" bestFit="1" customWidth="1"/>
    <col min="2" max="2" width="25.5703125" bestFit="1" customWidth="1"/>
    <col min="3" max="8" width="10.5703125" customWidth="1"/>
    <col min="9" max="9" width="8.140625" customWidth="1"/>
    <col min="10" max="10" width="15.140625" bestFit="1" customWidth="1"/>
  </cols>
  <sheetData>
    <row r="1" spans="1:17" x14ac:dyDescent="0.25">
      <c r="A1" s="87" t="s">
        <v>10</v>
      </c>
      <c r="B1" s="87">
        <v>2013</v>
      </c>
      <c r="C1" s="87">
        <v>2014</v>
      </c>
      <c r="D1" s="87">
        <v>2015</v>
      </c>
      <c r="E1" s="87">
        <v>2016</v>
      </c>
      <c r="F1" s="87">
        <v>2017</v>
      </c>
      <c r="G1" s="87">
        <v>2018</v>
      </c>
      <c r="H1" s="87">
        <v>2019</v>
      </c>
      <c r="I1" s="87"/>
      <c r="J1" s="87"/>
      <c r="K1" s="87">
        <v>2023</v>
      </c>
      <c r="L1" s="87">
        <v>2024</v>
      </c>
      <c r="M1" s="87">
        <v>2025</v>
      </c>
      <c r="N1" s="87">
        <v>2026</v>
      </c>
      <c r="O1" s="87">
        <v>2027</v>
      </c>
      <c r="P1" s="87"/>
      <c r="Q1" s="87"/>
    </row>
    <row r="2" spans="1:17" x14ac:dyDescent="0.25">
      <c r="A2" s="87" t="s">
        <v>8</v>
      </c>
      <c r="B2" s="148">
        <v>2164</v>
      </c>
      <c r="C2" s="148">
        <v>1802</v>
      </c>
      <c r="D2" s="148">
        <v>1844</v>
      </c>
      <c r="E2" s="148">
        <v>2068</v>
      </c>
      <c r="F2" s="148">
        <v>1839</v>
      </c>
      <c r="G2" s="148">
        <v>1943</v>
      </c>
      <c r="H2" s="148">
        <v>2112</v>
      </c>
      <c r="I2" s="148"/>
      <c r="J2" s="87"/>
      <c r="K2" s="87">
        <f>0.6*2000-100</f>
        <v>1100</v>
      </c>
      <c r="L2" s="87">
        <f t="shared" ref="L2:O3" si="0">0.6*2000-100</f>
        <v>1100</v>
      </c>
      <c r="M2" s="87">
        <f t="shared" si="0"/>
        <v>1100</v>
      </c>
      <c r="N2" s="87">
        <f t="shared" si="0"/>
        <v>1100</v>
      </c>
      <c r="O2" s="87">
        <f t="shared" si="0"/>
        <v>1100</v>
      </c>
      <c r="P2" s="87"/>
      <c r="Q2" s="87"/>
    </row>
    <row r="3" spans="1:17" x14ac:dyDescent="0.25">
      <c r="A3" s="87" t="s">
        <v>9</v>
      </c>
      <c r="B3" s="148">
        <v>3415</v>
      </c>
      <c r="C3" s="148">
        <v>2722</v>
      </c>
      <c r="D3" s="148">
        <v>2441</v>
      </c>
      <c r="E3" s="148">
        <v>1858</v>
      </c>
      <c r="F3" s="148">
        <v>1812</v>
      </c>
      <c r="G3" s="148">
        <v>1871</v>
      </c>
      <c r="H3" s="148">
        <v>1918</v>
      </c>
      <c r="I3" s="148"/>
      <c r="J3" s="87"/>
      <c r="K3" s="87">
        <f>0.6*2000-100</f>
        <v>1100</v>
      </c>
      <c r="L3" s="87">
        <f t="shared" si="0"/>
        <v>1100</v>
      </c>
      <c r="M3" s="87">
        <f t="shared" si="0"/>
        <v>1100</v>
      </c>
      <c r="N3" s="87">
        <f t="shared" si="0"/>
        <v>1100</v>
      </c>
      <c r="O3" s="87">
        <f t="shared" si="0"/>
        <v>1100</v>
      </c>
      <c r="P3" s="87"/>
      <c r="Q3" s="87"/>
    </row>
    <row r="4" spans="1:17" x14ac:dyDescent="0.25">
      <c r="A4" s="87"/>
      <c r="B4" s="148"/>
      <c r="C4" s="148"/>
      <c r="D4" s="148"/>
      <c r="E4" s="148"/>
      <c r="F4" s="148"/>
      <c r="G4" s="148"/>
      <c r="H4" s="148"/>
      <c r="I4" s="148"/>
      <c r="J4" s="87"/>
      <c r="K4" s="87"/>
      <c r="L4" s="87"/>
      <c r="M4" s="87"/>
      <c r="N4" s="87"/>
      <c r="O4" s="87"/>
      <c r="P4" s="87"/>
      <c r="Q4" s="87"/>
    </row>
    <row r="5" spans="1:17" x14ac:dyDescent="0.25">
      <c r="A5" s="87" t="s">
        <v>488</v>
      </c>
      <c r="B5" s="148"/>
      <c r="C5" s="148"/>
      <c r="D5" s="148"/>
      <c r="E5" s="148"/>
      <c r="F5" s="148"/>
      <c r="G5" s="148"/>
      <c r="H5" s="148"/>
      <c r="I5" s="148"/>
      <c r="J5" s="87"/>
      <c r="K5" s="87"/>
      <c r="L5" s="87"/>
      <c r="M5" s="87"/>
      <c r="N5" s="87"/>
      <c r="O5" s="87"/>
      <c r="P5" s="87"/>
      <c r="Q5" s="87"/>
    </row>
    <row r="6" spans="1:17" x14ac:dyDescent="0.25">
      <c r="A6" s="87" t="s">
        <v>489</v>
      </c>
      <c r="B6" s="148"/>
      <c r="C6" s="148"/>
      <c r="D6" s="148"/>
      <c r="E6" s="148"/>
      <c r="F6" s="148"/>
      <c r="G6" s="148"/>
      <c r="H6" s="148"/>
      <c r="I6" s="148"/>
      <c r="J6" s="87"/>
      <c r="K6" s="87"/>
      <c r="L6" s="87"/>
      <c r="M6" s="87"/>
      <c r="N6" s="87"/>
      <c r="O6" s="87"/>
      <c r="P6" s="87"/>
      <c r="Q6" s="87"/>
    </row>
    <row r="7" spans="1:17" x14ac:dyDescent="0.25">
      <c r="A7" t="s">
        <v>482</v>
      </c>
      <c r="B7" s="148"/>
      <c r="C7" s="148"/>
      <c r="D7" s="148"/>
      <c r="E7" s="148"/>
      <c r="F7" s="148"/>
      <c r="G7" s="148"/>
      <c r="H7" s="148"/>
      <c r="I7" s="148"/>
      <c r="J7" s="87"/>
      <c r="K7" s="87"/>
      <c r="L7" s="87"/>
      <c r="M7" s="87"/>
      <c r="N7" s="87"/>
      <c r="O7" s="87"/>
      <c r="P7" s="87"/>
      <c r="Q7" s="87"/>
    </row>
    <row r="8" spans="1:17" x14ac:dyDescent="0.25">
      <c r="A8" t="s">
        <v>483</v>
      </c>
      <c r="B8" s="2"/>
      <c r="C8" s="2"/>
      <c r="D8" s="2"/>
      <c r="E8" s="2"/>
      <c r="F8" s="2"/>
      <c r="G8" s="2"/>
      <c r="H8" s="2"/>
      <c r="I8" s="2"/>
    </row>
    <row r="9" spans="1:17" x14ac:dyDescent="0.25">
      <c r="B9" s="2"/>
      <c r="C9" s="2"/>
      <c r="D9" s="2"/>
      <c r="E9" s="2"/>
      <c r="F9" s="2"/>
      <c r="G9" s="2"/>
      <c r="H9" s="2"/>
      <c r="I9" s="2"/>
    </row>
    <row r="10" spans="1:17" x14ac:dyDescent="0.25">
      <c r="A10" s="4" t="s">
        <v>465</v>
      </c>
      <c r="B10" s="4" t="s">
        <v>417</v>
      </c>
      <c r="C10" s="4" t="s">
        <v>335</v>
      </c>
    </row>
    <row r="11" spans="1:17" x14ac:dyDescent="0.25">
      <c r="A11" s="4" t="s">
        <v>474</v>
      </c>
      <c r="B11" s="4"/>
      <c r="C11" s="4"/>
    </row>
    <row r="12" spans="1:17" x14ac:dyDescent="0.25">
      <c r="A12" t="s">
        <v>477</v>
      </c>
      <c r="B12" s="1">
        <f>(44/12)*CRF4B!M15/'CRF4.1'!D7</f>
        <v>-175.2370967741935</v>
      </c>
      <c r="D12" s="6"/>
    </row>
    <row r="13" spans="1:17" x14ac:dyDescent="0.25">
      <c r="A13" t="s">
        <v>333</v>
      </c>
      <c r="B13" s="7">
        <f>B14</f>
        <v>-20.9</v>
      </c>
      <c r="C13" s="1">
        <f>B13-$B$16</f>
        <v>-21.20815625600364</v>
      </c>
    </row>
    <row r="14" spans="1:17" x14ac:dyDescent="0.25">
      <c r="A14" t="s">
        <v>334</v>
      </c>
      <c r="B14" s="7">
        <f>-'org&amp;wetland_päästökertoimet'!N3</f>
        <v>-20.9</v>
      </c>
      <c r="C14" s="1">
        <f>B14-$B$16</f>
        <v>-21.20815625600364</v>
      </c>
      <c r="D14" s="91"/>
      <c r="E14" s="92"/>
    </row>
    <row r="15" spans="1:17" x14ac:dyDescent="0.25">
      <c r="A15" t="s">
        <v>478</v>
      </c>
      <c r="B15" s="6">
        <f>(44/12)*CRF4B!J13</f>
        <v>-1.78405293909018</v>
      </c>
      <c r="C15" s="1">
        <f>B15-B17</f>
        <v>-3.2626836068798397</v>
      </c>
    </row>
    <row r="16" spans="1:17" x14ac:dyDescent="0.25">
      <c r="A16" t="s">
        <v>475</v>
      </c>
      <c r="B16" s="6">
        <f>(44/12)*SUM(CRF4A!H11,CRF4A!L11)</f>
        <v>0.30815625600364011</v>
      </c>
    </row>
    <row r="17" spans="1:8" x14ac:dyDescent="0.25">
      <c r="A17" t="s">
        <v>476</v>
      </c>
      <c r="B17" s="6">
        <f>(44/12)*SUM(CRF4A!H11,CRF4A!K11)</f>
        <v>1.4786306677896599</v>
      </c>
    </row>
    <row r="18" spans="1:8" x14ac:dyDescent="0.25">
      <c r="A18" s="4" t="s">
        <v>162</v>
      </c>
      <c r="B18" s="6"/>
    </row>
    <row r="19" spans="1:8" x14ac:dyDescent="0.25">
      <c r="A19" t="s">
        <v>415</v>
      </c>
      <c r="B19" s="6">
        <f>'org&amp;wetland_päästökertoimet'!N6</f>
        <v>6.0877142857142852</v>
      </c>
      <c r="C19" s="1">
        <f>B19-$B$22</f>
        <v>5.6577070383489962</v>
      </c>
    </row>
    <row r="20" spans="1:8" x14ac:dyDescent="0.25">
      <c r="A20" t="s">
        <v>416</v>
      </c>
      <c r="B20" s="6">
        <f>'org&amp;wetland_päästökertoimet'!N7</f>
        <v>4.4487142857142858</v>
      </c>
      <c r="C20" s="1">
        <f>B20-$B$22</f>
        <v>4.0187070383489969</v>
      </c>
    </row>
    <row r="21" spans="1:8" x14ac:dyDescent="0.25">
      <c r="A21" t="s">
        <v>459</v>
      </c>
      <c r="B21" s="6">
        <f>GWP!B4*((44/28)*'CRF4(III)'!C20)/1000</f>
        <v>0.11284686213506931</v>
      </c>
    </row>
    <row r="22" spans="1:8" x14ac:dyDescent="0.25">
      <c r="A22" t="s">
        <v>460</v>
      </c>
      <c r="B22" s="6">
        <f>GWP!B4*((44/28)*'CRF4(II)'!E11)/1000</f>
        <v>0.43000724736528922</v>
      </c>
    </row>
    <row r="24" spans="1:8" x14ac:dyDescent="0.25">
      <c r="A24" s="4" t="s">
        <v>479</v>
      </c>
      <c r="B24" s="4">
        <v>2023</v>
      </c>
      <c r="C24" s="4">
        <v>2024</v>
      </c>
      <c r="D24" s="4">
        <v>2025</v>
      </c>
      <c r="E24" s="4">
        <v>2026</v>
      </c>
      <c r="F24" s="4">
        <v>2027</v>
      </c>
    </row>
    <row r="25" spans="1:8" x14ac:dyDescent="0.25">
      <c r="A25" t="s">
        <v>25</v>
      </c>
      <c r="B25">
        <f>-toimet!D3</f>
        <v>-1200</v>
      </c>
      <c r="C25">
        <f>-toimet!D3</f>
        <v>-1200</v>
      </c>
      <c r="D25">
        <f>-toimet!D3</f>
        <v>-1200</v>
      </c>
      <c r="E25">
        <f>-toimet!D3</f>
        <v>-1200</v>
      </c>
      <c r="F25">
        <f>-toimet!D3</f>
        <v>-1200</v>
      </c>
      <c r="H25" s="233" t="s">
        <v>644</v>
      </c>
    </row>
    <row r="26" spans="1:8" x14ac:dyDescent="0.25">
      <c r="A26" t="s">
        <v>24</v>
      </c>
      <c r="B26">
        <f>SUM($B25:B25)</f>
        <v>-1200</v>
      </c>
      <c r="C26">
        <f>SUM($B25:C25)</f>
        <v>-2400</v>
      </c>
      <c r="D26">
        <f>SUM($B25:D25)</f>
        <v>-3600</v>
      </c>
      <c r="E26">
        <f>SUM($B25:E25)</f>
        <v>-4800</v>
      </c>
      <c r="F26">
        <f>SUM($B25:F25)</f>
        <v>-6000</v>
      </c>
    </row>
    <row r="27" spans="1:8" x14ac:dyDescent="0.25">
      <c r="A27" t="s">
        <v>26</v>
      </c>
      <c r="B27">
        <v>0</v>
      </c>
      <c r="C27">
        <v>0</v>
      </c>
      <c r="D27">
        <v>0</v>
      </c>
      <c r="E27">
        <v>0</v>
      </c>
      <c r="F27">
        <v>0</v>
      </c>
      <c r="H27" s="233" t="s">
        <v>642</v>
      </c>
    </row>
    <row r="28" spans="1:8" x14ac:dyDescent="0.25">
      <c r="A28" t="s">
        <v>28</v>
      </c>
      <c r="B28">
        <f>SUM($B27:B27)</f>
        <v>0</v>
      </c>
      <c r="C28">
        <f>SUM($B27:C27)</f>
        <v>0</v>
      </c>
      <c r="D28">
        <f>SUM($B27:D27)</f>
        <v>0</v>
      </c>
      <c r="E28">
        <f>SUM($B27:E27)</f>
        <v>0</v>
      </c>
      <c r="F28">
        <f>SUM($B27:F27)</f>
        <v>0</v>
      </c>
    </row>
    <row r="29" spans="1:8" x14ac:dyDescent="0.25">
      <c r="A29" t="s">
        <v>27</v>
      </c>
      <c r="B29">
        <v>0</v>
      </c>
      <c r="C29">
        <v>0</v>
      </c>
      <c r="D29">
        <v>0</v>
      </c>
      <c r="E29">
        <v>0</v>
      </c>
      <c r="F29">
        <v>0</v>
      </c>
    </row>
    <row r="30" spans="1:8" x14ac:dyDescent="0.25">
      <c r="A30" t="s">
        <v>29</v>
      </c>
      <c r="B30">
        <f>B26</f>
        <v>-1200</v>
      </c>
      <c r="C30">
        <f t="shared" ref="C30:F30" si="1">C26</f>
        <v>-2400</v>
      </c>
      <c r="D30">
        <f t="shared" si="1"/>
        <v>-3600</v>
      </c>
      <c r="E30">
        <f t="shared" si="1"/>
        <v>-4800</v>
      </c>
      <c r="F30">
        <f t="shared" si="1"/>
        <v>-6000</v>
      </c>
      <c r="H30" t="s">
        <v>647</v>
      </c>
    </row>
    <row r="31" spans="1:8" x14ac:dyDescent="0.25">
      <c r="A31" s="4" t="s">
        <v>480</v>
      </c>
    </row>
    <row r="32" spans="1:8" x14ac:dyDescent="0.25">
      <c r="A32" t="s">
        <v>336</v>
      </c>
      <c r="B32" s="1">
        <f>-$B$12*B25</f>
        <v>-210284.51612903221</v>
      </c>
      <c r="C32" s="1">
        <f t="shared" ref="C32:F32" si="2">-$B$12*C25</f>
        <v>-210284.51612903221</v>
      </c>
      <c r="D32" s="1">
        <f t="shared" si="2"/>
        <v>-210284.51612903221</v>
      </c>
      <c r="E32" s="1">
        <f t="shared" si="2"/>
        <v>-210284.51612903221</v>
      </c>
      <c r="F32" s="1">
        <f t="shared" si="2"/>
        <v>-210284.51612903221</v>
      </c>
    </row>
    <row r="33" spans="1:11" x14ac:dyDescent="0.25">
      <c r="A33" t="s">
        <v>337</v>
      </c>
      <c r="B33" s="1">
        <f>-$B$12*B25</f>
        <v>-210284.51612903221</v>
      </c>
      <c r="C33" s="1">
        <f t="shared" ref="C33:F33" si="3">-$B$12*C25</f>
        <v>-210284.51612903221</v>
      </c>
      <c r="D33" s="1">
        <f t="shared" si="3"/>
        <v>-210284.51612903221</v>
      </c>
      <c r="E33" s="1">
        <f t="shared" si="3"/>
        <v>-210284.51612903221</v>
      </c>
      <c r="F33" s="1">
        <f t="shared" si="3"/>
        <v>-210284.51612903221</v>
      </c>
    </row>
    <row r="34" spans="1:11" x14ac:dyDescent="0.25">
      <c r="A34" t="s">
        <v>338</v>
      </c>
      <c r="B34" s="1">
        <f>-$C$13*B28</f>
        <v>0</v>
      </c>
      <c r="C34" s="1">
        <f t="shared" ref="C34:F34" si="4">-$C$13*C28</f>
        <v>0</v>
      </c>
      <c r="D34" s="1">
        <f t="shared" si="4"/>
        <v>0</v>
      </c>
      <c r="E34" s="1">
        <f t="shared" si="4"/>
        <v>0</v>
      </c>
      <c r="F34" s="1">
        <f t="shared" si="4"/>
        <v>0</v>
      </c>
    </row>
    <row r="35" spans="1:11" x14ac:dyDescent="0.25">
      <c r="A35" t="s">
        <v>339</v>
      </c>
      <c r="B35" s="1">
        <f>-$C$14*B30</f>
        <v>-25449.787507204368</v>
      </c>
      <c r="C35" s="1">
        <f t="shared" ref="C35:F35" si="5">-$C$14*C30</f>
        <v>-50899.575014408736</v>
      </c>
      <c r="D35" s="1">
        <f t="shared" si="5"/>
        <v>-76349.362521613104</v>
      </c>
      <c r="E35" s="1">
        <f t="shared" si="5"/>
        <v>-101799.15002881747</v>
      </c>
      <c r="F35" s="1">
        <f t="shared" si="5"/>
        <v>-127248.93753602184</v>
      </c>
    </row>
    <row r="36" spans="1:11" x14ac:dyDescent="0.25">
      <c r="A36" t="s">
        <v>299</v>
      </c>
      <c r="B36" s="1">
        <f>-$C$15*B26</f>
        <v>-3915.2203282558075</v>
      </c>
      <c r="C36" s="1">
        <f t="shared" ref="C36:F36" si="6">-$C$15*C26</f>
        <v>-7830.4406565116151</v>
      </c>
      <c r="D36" s="1">
        <f t="shared" si="6"/>
        <v>-11745.660984767423</v>
      </c>
      <c r="E36" s="1">
        <f t="shared" si="6"/>
        <v>-15660.88131302323</v>
      </c>
      <c r="F36" s="1">
        <f t="shared" si="6"/>
        <v>-19576.101641279038</v>
      </c>
    </row>
    <row r="37" spans="1:11" x14ac:dyDescent="0.25">
      <c r="A37" s="4" t="s">
        <v>481</v>
      </c>
      <c r="B37" s="1"/>
      <c r="C37" s="1"/>
      <c r="D37" s="1"/>
      <c r="E37" s="1"/>
      <c r="F37" s="1"/>
    </row>
    <row r="38" spans="1:11" x14ac:dyDescent="0.25">
      <c r="A38" s="87" t="s">
        <v>461</v>
      </c>
      <c r="B38" s="1">
        <v>0</v>
      </c>
      <c r="C38" s="1">
        <v>0</v>
      </c>
      <c r="D38" s="1">
        <v>0</v>
      </c>
      <c r="E38" s="1">
        <v>0</v>
      </c>
      <c r="F38" s="1">
        <v>0</v>
      </c>
      <c r="H38" s="233" t="s">
        <v>643</v>
      </c>
    </row>
    <row r="39" spans="1:11" x14ac:dyDescent="0.25">
      <c r="A39" t="s">
        <v>463</v>
      </c>
      <c r="B39" s="1">
        <f>$B19*B28</f>
        <v>0</v>
      </c>
      <c r="C39" s="1">
        <f t="shared" ref="C39:F39" si="7">$B19*C28</f>
        <v>0</v>
      </c>
      <c r="D39" s="1">
        <f t="shared" si="7"/>
        <v>0</v>
      </c>
      <c r="E39" s="1">
        <f t="shared" si="7"/>
        <v>0</v>
      </c>
      <c r="F39" s="1">
        <f t="shared" si="7"/>
        <v>0</v>
      </c>
    </row>
    <row r="40" spans="1:11" x14ac:dyDescent="0.25">
      <c r="A40" t="s">
        <v>464</v>
      </c>
      <c r="B40" s="1">
        <f>B26*$B$20</f>
        <v>-5338.4571428571426</v>
      </c>
      <c r="C40" s="1">
        <f t="shared" ref="C40:F40" si="8">C26*$B$20</f>
        <v>-10676.914285714285</v>
      </c>
      <c r="D40" s="1">
        <f t="shared" si="8"/>
        <v>-16015.371428571429</v>
      </c>
      <c r="E40" s="1">
        <f t="shared" si="8"/>
        <v>-21353.82857142857</v>
      </c>
      <c r="F40" s="1">
        <f t="shared" si="8"/>
        <v>-26692.285714285714</v>
      </c>
    </row>
    <row r="41" spans="1:11" x14ac:dyDescent="0.25">
      <c r="A41" t="s">
        <v>462</v>
      </c>
      <c r="B41" s="1">
        <f>$B$21*B26</f>
        <v>-135.41623456208316</v>
      </c>
      <c r="C41" s="1">
        <f t="shared" ref="C41:F41" si="9">$B$21*C26</f>
        <v>-270.83246912416632</v>
      </c>
      <c r="D41" s="1">
        <f t="shared" si="9"/>
        <v>-406.24870368624948</v>
      </c>
      <c r="E41" s="1">
        <f t="shared" si="9"/>
        <v>-541.66493824833265</v>
      </c>
      <c r="F41" s="1">
        <f t="shared" si="9"/>
        <v>-677.08117281041586</v>
      </c>
    </row>
    <row r="43" spans="1:11" x14ac:dyDescent="0.25">
      <c r="A43" s="4" t="s">
        <v>532</v>
      </c>
      <c r="G43" s="149" t="s">
        <v>466</v>
      </c>
      <c r="H43" s="149" t="s">
        <v>470</v>
      </c>
      <c r="I43" t="s">
        <v>528</v>
      </c>
      <c r="J43" t="s">
        <v>529</v>
      </c>
    </row>
    <row r="44" spans="1:11" x14ac:dyDescent="0.25">
      <c r="A44" t="s">
        <v>468</v>
      </c>
      <c r="B44" s="1">
        <f>SUM(B32,B34:B35,B40)/1000</f>
        <v>-241.07276077909373</v>
      </c>
      <c r="C44" s="1">
        <f t="shared" ref="C44:F44" si="10">SUM(C32,C34:C35,C40)/1000</f>
        <v>-271.86100542915523</v>
      </c>
      <c r="D44" s="1">
        <f t="shared" si="10"/>
        <v>-302.6492500792167</v>
      </c>
      <c r="E44" s="1">
        <f t="shared" si="10"/>
        <v>-333.43749472927828</v>
      </c>
      <c r="F44" s="1">
        <f t="shared" si="10"/>
        <v>-364.22573937933981</v>
      </c>
      <c r="G44" s="238">
        <f>AVERAGE(B44:F44)</f>
        <v>-302.64925007921676</v>
      </c>
      <c r="H44" s="150">
        <f>SUM(B44:F44)</f>
        <v>-1513.2462503960837</v>
      </c>
      <c r="I44">
        <f>H44/$F$26</f>
        <v>0.25220770839934731</v>
      </c>
      <c r="J44" s="1">
        <f>I44/5*1000</f>
        <v>50.441541679869459</v>
      </c>
      <c r="K44" t="s">
        <v>468</v>
      </c>
    </row>
    <row r="45" spans="1:11" x14ac:dyDescent="0.25">
      <c r="A45" t="s">
        <v>467</v>
      </c>
      <c r="B45" s="1">
        <f>SUM(B33,B36,B41)/1000</f>
        <v>-214.33515269185011</v>
      </c>
      <c r="C45" s="1">
        <f t="shared" ref="C45:F45" si="11">SUM(C33,C36,C41)/1000</f>
        <v>-218.385789254668</v>
      </c>
      <c r="D45" s="1">
        <f t="shared" si="11"/>
        <v>-222.43642581748591</v>
      </c>
      <c r="E45" s="1">
        <f t="shared" si="11"/>
        <v>-226.4870623803038</v>
      </c>
      <c r="F45" s="1">
        <f t="shared" si="11"/>
        <v>-230.53769894312165</v>
      </c>
      <c r="G45" s="238">
        <f>AVERAGE(B45:F45)</f>
        <v>-222.43642581748591</v>
      </c>
      <c r="H45" s="150">
        <f t="shared" ref="H45:H46" si="12">SUM(B45:F45)</f>
        <v>-1112.1821290874295</v>
      </c>
      <c r="I45">
        <f>H45/$F$26</f>
        <v>0.18536368818123825</v>
      </c>
      <c r="J45" s="1">
        <f>I45/5*1000</f>
        <v>37.072737636247645</v>
      </c>
      <c r="K45" t="s">
        <v>467</v>
      </c>
    </row>
    <row r="46" spans="1:11" x14ac:dyDescent="0.25">
      <c r="A46" t="s">
        <v>469</v>
      </c>
      <c r="B46" s="1">
        <f>SUM(B39:B40)/1000</f>
        <v>-5.338457142857143</v>
      </c>
      <c r="C46" s="1">
        <f t="shared" ref="C46:F46" si="13">SUM(C39:C40)/1000</f>
        <v>-10.676914285714286</v>
      </c>
      <c r="D46" s="1">
        <f t="shared" si="13"/>
        <v>-16.015371428571427</v>
      </c>
      <c r="E46" s="1">
        <f t="shared" si="13"/>
        <v>-21.353828571428572</v>
      </c>
      <c r="F46" s="1">
        <f t="shared" si="13"/>
        <v>-26.692285714285713</v>
      </c>
      <c r="G46" s="150">
        <f>AVERAGE(B46:F46)</f>
        <v>-16.015371428571427</v>
      </c>
      <c r="H46" s="150">
        <f t="shared" si="12"/>
        <v>-80.076857142857136</v>
      </c>
      <c r="I46">
        <f>H46/F26</f>
        <v>1.3346142857142857E-2</v>
      </c>
      <c r="J46" s="7">
        <f>I46/5*1000</f>
        <v>2.6692285714285711</v>
      </c>
      <c r="K46" t="s">
        <v>469</v>
      </c>
    </row>
    <row r="47" spans="1:11" x14ac:dyDescent="0.25">
      <c r="A47" t="s">
        <v>586</v>
      </c>
      <c r="B47" s="1"/>
      <c r="C47" s="1"/>
      <c r="D47" s="1"/>
      <c r="E47" s="1"/>
      <c r="F47" s="1"/>
      <c r="G47" s="1">
        <f>SUM(G45,huuhtouma!G3)</f>
        <v>-222.17687846034306</v>
      </c>
      <c r="H47" s="150"/>
      <c r="J47" s="1">
        <f>SUM(J45,huuhtouma!F3)</f>
        <v>37.168970350533357</v>
      </c>
    </row>
    <row r="48" spans="1:11" x14ac:dyDescent="0.25">
      <c r="A48" t="s">
        <v>531</v>
      </c>
      <c r="G48" s="1">
        <f>SUM(G46,huuhtouma!G3)</f>
        <v>-15.75582407142857</v>
      </c>
      <c r="H48" s="150"/>
      <c r="J48" s="7">
        <f>SUM(J46,huuhtouma!F3)</f>
        <v>2.7654612857142853</v>
      </c>
    </row>
    <row r="49" spans="1:10" x14ac:dyDescent="0.25">
      <c r="A49" s="4"/>
      <c r="B49" s="1">
        <f>+SUM(B44:B46)</f>
        <v>-460.74637061380099</v>
      </c>
      <c r="C49" s="1">
        <f t="shared" ref="C49:G49" si="14">+SUM(C44:C46)</f>
        <v>-500.92370896953753</v>
      </c>
      <c r="D49" s="1">
        <f t="shared" si="14"/>
        <v>-541.10104732527407</v>
      </c>
      <c r="E49" s="1">
        <f t="shared" si="14"/>
        <v>-581.27838568101072</v>
      </c>
      <c r="F49" s="1">
        <f t="shared" si="14"/>
        <v>-621.45572403674726</v>
      </c>
      <c r="G49" s="1">
        <f t="shared" si="14"/>
        <v>-541.10104732527407</v>
      </c>
    </row>
    <row r="50" spans="1:10" x14ac:dyDescent="0.25">
      <c r="A50" s="87" t="s">
        <v>626</v>
      </c>
      <c r="B50" s="1">
        <f>SUM(B32,B34:B35,B38/298*265)/1000</f>
        <v>-235.73430363623658</v>
      </c>
      <c r="C50" s="1">
        <f t="shared" ref="C50:F50" si="15">SUM(C32,C34:C35,C38/298*265)/1000</f>
        <v>-261.18409114344092</v>
      </c>
      <c r="D50" s="1">
        <f t="shared" si="15"/>
        <v>-286.63387865064533</v>
      </c>
      <c r="E50" s="1">
        <f t="shared" si="15"/>
        <v>-312.08366615784973</v>
      </c>
      <c r="F50" s="1">
        <f t="shared" si="15"/>
        <v>-337.53345366505403</v>
      </c>
      <c r="G50" s="1">
        <f>SUM(AVERAGE(B44:F44), huuhtouma!G2/298*265)</f>
        <v>-302.36113356135962</v>
      </c>
    </row>
    <row r="51" spans="1:10" x14ac:dyDescent="0.25">
      <c r="A51" t="s">
        <v>624</v>
      </c>
      <c r="B51" s="1">
        <f>SUM(B33,B36,(B41/298*265))/1000</f>
        <v>-214.32015693433149</v>
      </c>
      <c r="C51" s="1">
        <f t="shared" ref="C51:F51" si="16">SUM(C33,C36,(C41/298*265))/1000</f>
        <v>-218.35579773963073</v>
      </c>
      <c r="D51" s="1">
        <f t="shared" si="16"/>
        <v>-222.39143854493003</v>
      </c>
      <c r="E51" s="1">
        <f t="shared" si="16"/>
        <v>-226.42707935022932</v>
      </c>
      <c r="F51" s="1">
        <f t="shared" si="16"/>
        <v>-230.46272015552856</v>
      </c>
      <c r="G51" s="1">
        <f>SUM(AVERAGE(B45:F45), huuhtouma!G3/298*265)</f>
        <v>-222.20562028177162</v>
      </c>
      <c r="J51" s="1"/>
    </row>
    <row r="52" spans="1:10" x14ac:dyDescent="0.25">
      <c r="I52" s="241"/>
    </row>
  </sheetData>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4"/>
  <sheetViews>
    <sheetView workbookViewId="0">
      <selection activeCell="L8" sqref="L8"/>
    </sheetView>
  </sheetViews>
  <sheetFormatPr defaultRowHeight="15" x14ac:dyDescent="0.25"/>
  <cols>
    <col min="1" max="1" width="14.85546875" style="165" bestFit="1" customWidth="1"/>
    <col min="2" max="2" width="17.85546875" style="165" bestFit="1" customWidth="1"/>
    <col min="3" max="3" width="9.28515625" style="165" bestFit="1" customWidth="1"/>
    <col min="4" max="4" width="27.140625" style="165" customWidth="1"/>
    <col min="5" max="5" width="27.140625" style="165" bestFit="1" customWidth="1"/>
    <col min="6" max="6" width="11.7109375" style="165" bestFit="1" customWidth="1"/>
    <col min="7" max="7" width="15.28515625" style="165" bestFit="1" customWidth="1"/>
    <col min="8" max="8" width="15.7109375" style="169" bestFit="1" customWidth="1"/>
    <col min="9" max="9" width="22.140625" style="165" customWidth="1"/>
    <col min="10" max="10" width="17.85546875" style="165" customWidth="1"/>
    <col min="11" max="11" width="16" style="165" customWidth="1"/>
    <col min="12" max="12" width="18.28515625" style="165" customWidth="1"/>
    <col min="13" max="13" width="13.42578125" style="165" customWidth="1"/>
  </cols>
  <sheetData>
    <row r="1" spans="1:13" s="165" customFormat="1" ht="60" x14ac:dyDescent="0.25">
      <c r="A1" s="165" t="s">
        <v>495</v>
      </c>
      <c r="B1" s="165" t="s">
        <v>290</v>
      </c>
      <c r="C1" s="165" t="s">
        <v>291</v>
      </c>
      <c r="D1" s="165" t="s">
        <v>292</v>
      </c>
      <c r="E1" s="165" t="s">
        <v>293</v>
      </c>
      <c r="F1" s="165" t="s">
        <v>294</v>
      </c>
      <c r="G1" s="165" t="s">
        <v>295</v>
      </c>
      <c r="H1" s="169" t="s">
        <v>297</v>
      </c>
      <c r="I1" s="165" t="s">
        <v>296</v>
      </c>
      <c r="J1" s="175" t="s">
        <v>473</v>
      </c>
      <c r="K1" s="175" t="s">
        <v>583</v>
      </c>
      <c r="L1" s="175" t="s">
        <v>497</v>
      </c>
      <c r="M1" s="175" t="s">
        <v>298</v>
      </c>
    </row>
    <row r="2" spans="1:13" x14ac:dyDescent="0.25">
      <c r="A2" s="165">
        <v>52000</v>
      </c>
      <c r="B2" s="165">
        <v>60000</v>
      </c>
      <c r="C2" s="165">
        <v>3000</v>
      </c>
      <c r="D2" s="165">
        <v>14.175000000000001</v>
      </c>
      <c r="E2" s="165">
        <v>0.74925714285714284</v>
      </c>
      <c r="F2" s="165">
        <v>20.9</v>
      </c>
      <c r="G2" s="165">
        <v>4.4487142857142858</v>
      </c>
      <c r="H2" s="221">
        <f>G2-valumavesien_hallinta!E2</f>
        <v>3.6994571428571428</v>
      </c>
      <c r="I2" s="168">
        <f>F2-valumavesien_hallinta!D2</f>
        <v>6.7249999999999979</v>
      </c>
      <c r="J2" s="222">
        <f>1000*(K2/A5)</f>
        <v>1.4077107589285716</v>
      </c>
      <c r="K2" s="223">
        <f>H2*$C2/1000+huuhtouma!G18</f>
        <v>11.261686071428572</v>
      </c>
      <c r="L2" s="224">
        <f>1000*(M2/A5)</f>
        <v>2.5218749999999992</v>
      </c>
      <c r="M2" s="224">
        <f>I2*$C2/1000</f>
        <v>20.174999999999994</v>
      </c>
    </row>
    <row r="3" spans="1:13" x14ac:dyDescent="0.25">
      <c r="C3" s="165">
        <f>C2/B2</f>
        <v>0.05</v>
      </c>
    </row>
    <row r="4" spans="1:13" x14ac:dyDescent="0.25">
      <c r="A4" s="165" t="s">
        <v>10</v>
      </c>
      <c r="C4" s="165">
        <f>C2/(B2-A2)</f>
        <v>0.375</v>
      </c>
    </row>
    <row r="5" spans="1:13" x14ac:dyDescent="0.25">
      <c r="A5" s="165">
        <f>B2-A2</f>
        <v>8000</v>
      </c>
      <c r="C5" s="165">
        <f>5000/A5</f>
        <v>0.625</v>
      </c>
    </row>
    <row r="8" spans="1:13" x14ac:dyDescent="0.25">
      <c r="D8" s="165" t="s">
        <v>527</v>
      </c>
      <c r="E8" s="165">
        <f>6.7*3</f>
        <v>20.100000000000001</v>
      </c>
    </row>
    <row r="9" spans="1:13" x14ac:dyDescent="0.25">
      <c r="E9" s="165">
        <f>3.7*3</f>
        <v>11.100000000000001</v>
      </c>
    </row>
    <row r="12" spans="1:13" x14ac:dyDescent="0.25">
      <c r="A12" s="225" t="s">
        <v>159</v>
      </c>
    </row>
    <row r="13" spans="1:13" ht="45" x14ac:dyDescent="0.25">
      <c r="A13" s="165" t="s">
        <v>495</v>
      </c>
      <c r="B13" s="165" t="s">
        <v>290</v>
      </c>
      <c r="C13" s="165" t="s">
        <v>291</v>
      </c>
      <c r="D13" s="165" t="s">
        <v>292</v>
      </c>
      <c r="F13" s="165" t="s">
        <v>294</v>
      </c>
      <c r="I13" s="165" t="s">
        <v>296</v>
      </c>
      <c r="J13" s="175"/>
      <c r="K13" s="175"/>
      <c r="L13" s="175" t="s">
        <v>497</v>
      </c>
      <c r="M13" s="175" t="s">
        <v>298</v>
      </c>
    </row>
    <row r="14" spans="1:13" x14ac:dyDescent="0.25">
      <c r="A14" s="165">
        <v>52000</v>
      </c>
      <c r="B14" s="165">
        <v>60000</v>
      </c>
      <c r="C14" s="165">
        <v>3000</v>
      </c>
      <c r="D14" s="168">
        <f>SUM('org&amp;wetland_päästökertoimet'!N4,'org&amp;wetland_päästökertoimet'!N10/25*28)</f>
        <v>14.292</v>
      </c>
      <c r="F14" s="165">
        <v>20.9</v>
      </c>
      <c r="H14" s="221"/>
      <c r="I14" s="168">
        <f>F14-valumavesien_hallinta!D14</f>
        <v>6.6079999999999988</v>
      </c>
      <c r="J14" s="222"/>
      <c r="K14" s="223"/>
      <c r="L14" s="224">
        <f>1000*(M14/A5)</f>
        <v>2.4779999999999998</v>
      </c>
      <c r="M14" s="224">
        <f>I14*$C14/1000</f>
        <v>19.823999999999998</v>
      </c>
    </row>
  </sheetData>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30"/>
  <sheetViews>
    <sheetView zoomScaleNormal="100" workbookViewId="0">
      <selection activeCell="E11" sqref="E11"/>
    </sheetView>
  </sheetViews>
  <sheetFormatPr defaultRowHeight="15" x14ac:dyDescent="0.25"/>
  <cols>
    <col min="1" max="1" width="38.85546875" customWidth="1"/>
    <col min="3" max="3" width="16.42578125" customWidth="1"/>
    <col min="16" max="16" width="4" customWidth="1"/>
  </cols>
  <sheetData>
    <row r="1" spans="1:38" x14ac:dyDescent="0.25">
      <c r="A1" s="4" t="s">
        <v>500</v>
      </c>
      <c r="B1" s="71">
        <v>2015</v>
      </c>
      <c r="C1" s="71">
        <v>2016</v>
      </c>
      <c r="D1" s="71">
        <v>2017</v>
      </c>
      <c r="E1" s="71">
        <v>2018</v>
      </c>
      <c r="F1" s="71">
        <v>2019</v>
      </c>
      <c r="G1" s="71">
        <v>2020</v>
      </c>
      <c r="H1" s="71">
        <v>2021</v>
      </c>
      <c r="I1" s="71">
        <v>2022</v>
      </c>
      <c r="J1" s="151">
        <v>2023</v>
      </c>
      <c r="K1" s="71">
        <v>2024</v>
      </c>
      <c r="L1" s="71">
        <v>2025</v>
      </c>
      <c r="M1" s="71">
        <v>2026</v>
      </c>
      <c r="N1" s="151">
        <v>2027</v>
      </c>
      <c r="O1" s="71" t="s">
        <v>466</v>
      </c>
      <c r="P1" s="71" t="s">
        <v>509</v>
      </c>
      <c r="Q1" s="71" t="s">
        <v>510</v>
      </c>
      <c r="R1" s="71" t="s">
        <v>511</v>
      </c>
      <c r="S1" s="71" t="s">
        <v>513</v>
      </c>
      <c r="T1" s="71" t="s">
        <v>512</v>
      </c>
      <c r="U1" s="71" t="s">
        <v>514</v>
      </c>
      <c r="V1" s="71"/>
      <c r="Z1" s="71"/>
      <c r="AA1" s="71"/>
      <c r="AB1" s="71"/>
      <c r="AC1" s="71"/>
      <c r="AD1" s="71"/>
      <c r="AE1" s="71"/>
      <c r="AF1" s="71"/>
      <c r="AG1" s="71"/>
      <c r="AH1" s="71"/>
      <c r="AI1" s="71"/>
      <c r="AJ1" s="71"/>
      <c r="AK1" s="71"/>
      <c r="AL1" s="71"/>
    </row>
    <row r="2" spans="1:38" x14ac:dyDescent="0.25">
      <c r="A2" t="s">
        <v>499</v>
      </c>
      <c r="B2" s="2">
        <v>754</v>
      </c>
      <c r="C2" s="2">
        <v>842</v>
      </c>
      <c r="D2" s="2">
        <v>903</v>
      </c>
      <c r="E2" s="2">
        <v>1019</v>
      </c>
      <c r="F2" s="2">
        <v>1249</v>
      </c>
      <c r="J2" s="2">
        <v>1500</v>
      </c>
      <c r="K2" s="2">
        <v>1800</v>
      </c>
      <c r="L2" s="2">
        <v>2100</v>
      </c>
      <c r="M2" s="2">
        <v>2400</v>
      </c>
      <c r="N2" s="2">
        <v>3000</v>
      </c>
    </row>
    <row r="3" spans="1:38" x14ac:dyDescent="0.25">
      <c r="A3" t="s">
        <v>501</v>
      </c>
      <c r="B3" s="2"/>
      <c r="C3" s="2">
        <f t="shared" ref="C3:E3" si="0">C2-B2</f>
        <v>88</v>
      </c>
      <c r="D3" s="2">
        <f t="shared" si="0"/>
        <v>61</v>
      </c>
      <c r="E3" s="2">
        <f t="shared" si="0"/>
        <v>116</v>
      </c>
      <c r="F3" s="2">
        <f>F2-E2</f>
        <v>230</v>
      </c>
      <c r="J3" s="2">
        <v>300</v>
      </c>
      <c r="K3" s="2">
        <v>300</v>
      </c>
      <c r="L3" s="2">
        <v>300</v>
      </c>
      <c r="M3" s="2">
        <v>300</v>
      </c>
      <c r="N3" s="2">
        <v>300</v>
      </c>
    </row>
    <row r="4" spans="1:38" x14ac:dyDescent="0.25">
      <c r="A4" t="s">
        <v>502</v>
      </c>
      <c r="J4" s="2">
        <v>100</v>
      </c>
      <c r="K4" s="2">
        <v>100</v>
      </c>
      <c r="L4" s="2">
        <v>100</v>
      </c>
      <c r="M4" s="2">
        <v>100</v>
      </c>
      <c r="N4" s="2">
        <v>100</v>
      </c>
    </row>
    <row r="5" spans="1:38" x14ac:dyDescent="0.25">
      <c r="A5" t="s">
        <v>504</v>
      </c>
      <c r="J5" s="2">
        <f>0.1*(J3-J4)</f>
        <v>20</v>
      </c>
      <c r="K5" s="2">
        <f>0.1*(K3-K4)</f>
        <v>20</v>
      </c>
      <c r="L5" s="2">
        <f>0.1*(L3-L4)</f>
        <v>20</v>
      </c>
      <c r="M5" s="2">
        <f>0.1*(M3-M4)</f>
        <v>20</v>
      </c>
      <c r="N5" s="2">
        <f>0.1*(N3-N4)</f>
        <v>20</v>
      </c>
    </row>
    <row r="6" spans="1:38" x14ac:dyDescent="0.25">
      <c r="A6" s="71" t="s">
        <v>503</v>
      </c>
      <c r="B6" s="71"/>
      <c r="C6" s="71"/>
      <c r="D6" s="71"/>
      <c r="E6" s="71"/>
      <c r="F6" s="71"/>
      <c r="G6" s="71"/>
      <c r="H6" s="71"/>
      <c r="I6" s="71"/>
      <c r="J6" s="153">
        <f>0.9*(J3-J4)</f>
        <v>180</v>
      </c>
      <c r="K6" s="153">
        <f>0.9*(K3-K4)</f>
        <v>180</v>
      </c>
      <c r="L6" s="153">
        <f>0.9*(L3-L4)</f>
        <v>180</v>
      </c>
      <c r="M6" s="153">
        <f>0.9*(M3-M4)</f>
        <v>180</v>
      </c>
      <c r="N6" s="153">
        <f>0.9*(N3-N4)</f>
        <v>180</v>
      </c>
    </row>
    <row r="7" spans="1:38" x14ac:dyDescent="0.25">
      <c r="A7" t="s">
        <v>518</v>
      </c>
      <c r="J7" s="2">
        <f>SUM($J4:J4)</f>
        <v>100</v>
      </c>
      <c r="K7" s="2">
        <f>SUM($J4:K4)</f>
        <v>200</v>
      </c>
      <c r="L7" s="2">
        <f>SUM($J4:L4)</f>
        <v>300</v>
      </c>
      <c r="M7" s="2">
        <f>SUM($J4:M4)</f>
        <v>400</v>
      </c>
      <c r="N7" s="2">
        <f>SUM($J4:N4)</f>
        <v>500</v>
      </c>
      <c r="O7" s="2">
        <f>AVERAGE(J7:N7)</f>
        <v>300</v>
      </c>
      <c r="P7" s="2">
        <f>B21</f>
        <v>2.8140000000000001</v>
      </c>
      <c r="Q7" s="2">
        <f>O7*P7</f>
        <v>844.2</v>
      </c>
      <c r="R7" s="1">
        <f>-CRF4B!K4</f>
        <v>23.840434864031057</v>
      </c>
      <c r="S7" s="1">
        <f>R7-P7</f>
        <v>21.026434864031057</v>
      </c>
      <c r="T7" s="1">
        <f>S7*O7</f>
        <v>6307.9304592093167</v>
      </c>
      <c r="U7" s="1">
        <f>T7/1000</f>
        <v>6.3079304592093166</v>
      </c>
    </row>
    <row r="8" spans="1:38" x14ac:dyDescent="0.25">
      <c r="A8" t="s">
        <v>519</v>
      </c>
      <c r="J8" s="2">
        <f>SUM($J5:J5)</f>
        <v>20</v>
      </c>
      <c r="K8" s="2">
        <f>SUM($J5:K5)</f>
        <v>40</v>
      </c>
      <c r="L8" s="2">
        <f>SUM($J5:L5)</f>
        <v>60</v>
      </c>
      <c r="M8" s="2">
        <f>SUM($J5:M5)</f>
        <v>80</v>
      </c>
      <c r="N8" s="2">
        <f>SUM($J5:N5)</f>
        <v>100</v>
      </c>
      <c r="O8" s="2">
        <f t="shared" ref="O8:O9" si="1">AVERAGE(J8:N8)</f>
        <v>60</v>
      </c>
      <c r="P8" s="2">
        <f>B22</f>
        <v>7.5</v>
      </c>
      <c r="Q8" s="2">
        <f t="shared" ref="Q8:Q9" si="2">O8*P8</f>
        <v>450</v>
      </c>
      <c r="R8" s="1">
        <f>-CRF4B!K4</f>
        <v>23.840434864031057</v>
      </c>
      <c r="S8" s="1">
        <f t="shared" ref="S8:S9" si="3">R8-P8</f>
        <v>16.340434864031057</v>
      </c>
      <c r="T8" s="1">
        <f t="shared" ref="T8:T9" si="4">S8*O8</f>
        <v>980.42609184186335</v>
      </c>
      <c r="U8" s="1">
        <f t="shared" ref="U8:U9" si="5">T8/1000</f>
        <v>0.98042609184186336</v>
      </c>
    </row>
    <row r="9" spans="1:38" x14ac:dyDescent="0.25">
      <c r="A9" t="s">
        <v>520</v>
      </c>
      <c r="J9" s="2">
        <f>SUM($J6:J6)</f>
        <v>180</v>
      </c>
      <c r="K9" s="2">
        <f>SUM($J6:K6)</f>
        <v>360</v>
      </c>
      <c r="L9" s="2">
        <f>SUM($J6:L6)</f>
        <v>540</v>
      </c>
      <c r="M9" s="2">
        <f>SUM($J6:M6)</f>
        <v>720</v>
      </c>
      <c r="N9" s="2">
        <f>SUM($J6:N6)</f>
        <v>900</v>
      </c>
      <c r="O9" s="2">
        <f t="shared" si="1"/>
        <v>540</v>
      </c>
      <c r="P9" s="2">
        <f>B22</f>
        <v>7.5</v>
      </c>
      <c r="Q9" s="2">
        <f t="shared" si="2"/>
        <v>4050</v>
      </c>
      <c r="R9" s="7">
        <f>-CRF4B!J4</f>
        <v>0.30552932107430331</v>
      </c>
      <c r="S9" s="1">
        <f t="shared" si="3"/>
        <v>-7.1944706789256969</v>
      </c>
      <c r="T9" s="1">
        <f t="shared" si="4"/>
        <v>-3885.0141666198765</v>
      </c>
      <c r="U9" s="1">
        <f t="shared" si="5"/>
        <v>-3.8850141666198765</v>
      </c>
    </row>
    <row r="10" spans="1:38" x14ac:dyDescent="0.25">
      <c r="A10" t="s">
        <v>516</v>
      </c>
      <c r="B10" s="7">
        <f>SUM(U7:U9)</f>
        <v>3.4033423844313035</v>
      </c>
      <c r="J10" s="2"/>
      <c r="K10" s="2"/>
      <c r="L10" s="2"/>
      <c r="M10" s="2"/>
      <c r="N10" s="2"/>
      <c r="T10" s="1"/>
    </row>
    <row r="11" spans="1:38" x14ac:dyDescent="0.25">
      <c r="A11" t="s">
        <v>517</v>
      </c>
      <c r="B11" s="7">
        <f>(1000*B10)/SUM(O7:O9)</f>
        <v>3.7814915382570038</v>
      </c>
      <c r="J11" s="2"/>
      <c r="K11" s="2"/>
      <c r="L11" s="2"/>
      <c r="M11" s="2"/>
      <c r="N11" s="2"/>
    </row>
    <row r="12" spans="1:38" x14ac:dyDescent="0.25">
      <c r="A12" t="s">
        <v>521</v>
      </c>
      <c r="B12" s="7"/>
      <c r="J12" s="2">
        <f>J7</f>
        <v>100</v>
      </c>
      <c r="K12" s="2">
        <f t="shared" ref="K12:N12" si="6">K7</f>
        <v>200</v>
      </c>
      <c r="L12" s="2">
        <f t="shared" si="6"/>
        <v>300</v>
      </c>
      <c r="M12" s="2">
        <f t="shared" si="6"/>
        <v>400</v>
      </c>
      <c r="N12" s="2">
        <f t="shared" si="6"/>
        <v>500</v>
      </c>
      <c r="O12" s="2">
        <f>AVERAGE(J12:N12)</f>
        <v>300</v>
      </c>
      <c r="P12">
        <v>0</v>
      </c>
      <c r="Q12" s="2">
        <f>O12*P12</f>
        <v>0</v>
      </c>
      <c r="R12" s="7">
        <f>CRF3D!F17</f>
        <v>4.5787107857617988</v>
      </c>
      <c r="S12" s="1">
        <f>R12-P12</f>
        <v>4.5787107857617988</v>
      </c>
      <c r="T12" s="1">
        <f>S12*O12</f>
        <v>1373.6132357285396</v>
      </c>
      <c r="U12" s="7">
        <f>T12/1000</f>
        <v>1.3736132357285395</v>
      </c>
    </row>
    <row r="13" spans="1:38" x14ac:dyDescent="0.25">
      <c r="A13" t="s">
        <v>522</v>
      </c>
      <c r="B13" s="7"/>
      <c r="J13" s="2">
        <f t="shared" ref="J13:N14" si="7">J8</f>
        <v>20</v>
      </c>
      <c r="K13" s="2">
        <f t="shared" si="7"/>
        <v>40</v>
      </c>
      <c r="L13" s="2">
        <f t="shared" si="7"/>
        <v>60</v>
      </c>
      <c r="M13" s="2">
        <f t="shared" si="7"/>
        <v>80</v>
      </c>
      <c r="N13" s="2">
        <f t="shared" si="7"/>
        <v>100</v>
      </c>
      <c r="O13" s="2">
        <f t="shared" ref="O13:O14" si="8">AVERAGE(J13:N13)</f>
        <v>60</v>
      </c>
      <c r="P13">
        <v>0</v>
      </c>
      <c r="Q13" s="2">
        <f t="shared" ref="Q13:Q14" si="9">O13*P13</f>
        <v>0</v>
      </c>
      <c r="R13" s="7">
        <f>CRF3D!F17</f>
        <v>4.5787107857617988</v>
      </c>
      <c r="S13" s="1">
        <f t="shared" ref="S13:S14" si="10">R13-P13</f>
        <v>4.5787107857617988</v>
      </c>
      <c r="T13" s="1">
        <f t="shared" ref="T13" si="11">S13*O13</f>
        <v>274.72264714570792</v>
      </c>
      <c r="U13" s="7">
        <f t="shared" ref="U13:U14" si="12">T13/1000</f>
        <v>0.27472264714570793</v>
      </c>
    </row>
    <row r="14" spans="1:38" x14ac:dyDescent="0.25">
      <c r="A14" t="s">
        <v>523</v>
      </c>
      <c r="B14" s="7"/>
      <c r="J14" s="2">
        <f t="shared" si="7"/>
        <v>180</v>
      </c>
      <c r="K14" s="2">
        <f t="shared" si="7"/>
        <v>360</v>
      </c>
      <c r="L14" s="2">
        <f t="shared" si="7"/>
        <v>540</v>
      </c>
      <c r="M14" s="2">
        <f t="shared" si="7"/>
        <v>720</v>
      </c>
      <c r="N14" s="2">
        <f t="shared" si="7"/>
        <v>900</v>
      </c>
      <c r="O14" s="2">
        <f t="shared" si="8"/>
        <v>540</v>
      </c>
      <c r="P14">
        <v>0</v>
      </c>
      <c r="Q14" s="2">
        <f t="shared" si="9"/>
        <v>0</v>
      </c>
      <c r="R14" s="7">
        <v>0</v>
      </c>
      <c r="S14" s="1">
        <f t="shared" si="10"/>
        <v>0</v>
      </c>
      <c r="T14" s="1">
        <f t="shared" ref="T14" si="13">S14*O14</f>
        <v>0</v>
      </c>
      <c r="U14" s="7">
        <f t="shared" si="12"/>
        <v>0</v>
      </c>
    </row>
    <row r="15" spans="1:38" x14ac:dyDescent="0.25">
      <c r="A15" t="s">
        <v>525</v>
      </c>
      <c r="B15" s="7">
        <f>SUM(U12:U14)</f>
        <v>1.6483358828742474</v>
      </c>
      <c r="J15" s="2"/>
      <c r="K15" s="2"/>
      <c r="L15" s="2"/>
      <c r="M15" s="2"/>
      <c r="N15" s="2"/>
      <c r="O15" s="2"/>
      <c r="Q15" s="2"/>
      <c r="R15" s="7"/>
      <c r="S15" s="1"/>
    </row>
    <row r="16" spans="1:38" x14ac:dyDescent="0.25">
      <c r="A16" t="s">
        <v>526</v>
      </c>
      <c r="B16" s="7">
        <f>(1000*B15)/SUM(O12:O14)</f>
        <v>1.8314843143047193</v>
      </c>
      <c r="J16" s="2"/>
      <c r="K16" s="2"/>
      <c r="L16" s="2"/>
      <c r="M16" s="2"/>
      <c r="N16" s="2"/>
      <c r="O16" s="2"/>
      <c r="Q16" s="2"/>
      <c r="R16" s="7"/>
      <c r="S16" s="1"/>
    </row>
    <row r="17" spans="1:15" x14ac:dyDescent="0.25">
      <c r="A17" t="s">
        <v>584</v>
      </c>
      <c r="B17" s="7">
        <f>SUM(B15,huuhtouma!H17/1000)</f>
        <v>1.8190260257313902</v>
      </c>
      <c r="J17" s="2"/>
      <c r="K17" s="2"/>
      <c r="L17" s="2"/>
      <c r="M17" s="2"/>
      <c r="N17" s="2"/>
    </row>
    <row r="18" spans="1:15" x14ac:dyDescent="0.25">
      <c r="A18" t="s">
        <v>585</v>
      </c>
      <c r="B18" s="7">
        <f>SUM(B16,huuhtouma!F17)</f>
        <v>2.0211400285904335</v>
      </c>
      <c r="O18" s="2"/>
    </row>
    <row r="20" spans="1:15" ht="15" customHeight="1" x14ac:dyDescent="0.25">
      <c r="B20" t="s">
        <v>163</v>
      </c>
      <c r="C20" t="s">
        <v>159</v>
      </c>
    </row>
    <row r="21" spans="1:15" x14ac:dyDescent="0.25">
      <c r="A21" t="s">
        <v>505</v>
      </c>
      <c r="B21" s="5">
        <f>SUM('org&amp;wetland_päästökertoimet'!N15:N18)</f>
        <v>2.8140000000000001</v>
      </c>
      <c r="C21">
        <f>SUM('org&amp;wetland_päästökertoimet'!N15:N16,'org&amp;wetland_päästökertoimet'!N17/25*28)</f>
        <v>3.3620000000000001</v>
      </c>
      <c r="D21" t="s">
        <v>507</v>
      </c>
    </row>
    <row r="22" spans="1:15" x14ac:dyDescent="0.25">
      <c r="A22" t="s">
        <v>508</v>
      </c>
      <c r="B22" s="1">
        <f>'org&amp;wetland_päästökertoimet'!N19</f>
        <v>7.5</v>
      </c>
      <c r="C22">
        <f>'org&amp;wetland_päästökertoimet'!N19/25*28</f>
        <v>8.4</v>
      </c>
      <c r="D22" t="s">
        <v>507</v>
      </c>
    </row>
    <row r="24" spans="1:15" ht="57" customHeight="1" x14ac:dyDescent="0.25">
      <c r="A24" s="242" t="s">
        <v>506</v>
      </c>
      <c r="B24" s="243"/>
      <c r="C24" s="243"/>
      <c r="D24" s="243"/>
      <c r="E24" s="243"/>
    </row>
    <row r="25" spans="1:15" ht="16.350000000000001" customHeight="1" x14ac:dyDescent="0.25"/>
    <row r="26" spans="1:15" x14ac:dyDescent="0.25">
      <c r="C26" s="71" t="s">
        <v>625</v>
      </c>
      <c r="D26" s="71" t="s">
        <v>512</v>
      </c>
      <c r="E26" s="71" t="s">
        <v>514</v>
      </c>
    </row>
    <row r="27" spans="1:15" x14ac:dyDescent="0.25">
      <c r="A27" t="s">
        <v>518</v>
      </c>
      <c r="C27" s="1">
        <f>R7-C21</f>
        <v>20.478434864031058</v>
      </c>
      <c r="D27" s="1">
        <f>C27*O7</f>
        <v>6143.5304592093171</v>
      </c>
      <c r="E27" s="7">
        <f>D27/1000</f>
        <v>6.143530459209317</v>
      </c>
    </row>
    <row r="28" spans="1:15" x14ac:dyDescent="0.25">
      <c r="A28" t="s">
        <v>519</v>
      </c>
      <c r="C28" s="1">
        <f>R8-C22</f>
        <v>15.440434864031056</v>
      </c>
      <c r="D28" s="1">
        <f>C28*O8</f>
        <v>926.42609184186335</v>
      </c>
      <c r="E28" s="7">
        <f t="shared" ref="E28:E29" si="14">D28/1000</f>
        <v>0.92642609184186331</v>
      </c>
    </row>
    <row r="29" spans="1:15" x14ac:dyDescent="0.25">
      <c r="A29" t="s">
        <v>520</v>
      </c>
      <c r="C29" s="7">
        <f>R9-C22</f>
        <v>-8.0944706789256973</v>
      </c>
      <c r="D29" s="1">
        <f>C29*O9</f>
        <v>-4371.014166619877</v>
      </c>
      <c r="E29" s="7">
        <f t="shared" si="14"/>
        <v>-4.3710141666198767</v>
      </c>
    </row>
    <row r="30" spans="1:15" x14ac:dyDescent="0.25">
      <c r="A30" t="s">
        <v>516</v>
      </c>
      <c r="E30" s="7">
        <f>SUM(E27:E29)</f>
        <v>2.6989423844313034</v>
      </c>
    </row>
  </sheetData>
  <mergeCells count="1">
    <mergeCell ref="A24:E24"/>
  </mergeCell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FC273FBDB1AAC448BDBB3CA1302F22C6" ma:contentTypeVersion="3" ma:contentTypeDescription="Luo uusi asiakirja." ma:contentTypeScope="" ma:versionID="3cf92efc90fd97c5548b5b3f6d259d45">
  <xsd:schema xmlns:xsd="http://www.w3.org/2001/XMLSchema" xmlns:xs="http://www.w3.org/2001/XMLSchema" xmlns:p="http://schemas.microsoft.com/office/2006/metadata/properties" xmlns:ns2="ebb82943-49da-4504-a2f3-a33fb2eb95f1" targetNamespace="http://schemas.microsoft.com/office/2006/metadata/properties" ma:root="true" ma:fieldsID="73a7f945de27690f0e5612b79736f6f4" ns2:_="">
    <xsd:import namespace="ebb82943-49da-4504-a2f3-a33fb2eb95f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2943-49da-4504-a2f3-a33fb2eb95f1"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FD1911-937D-48D0-A3F5-FE37C1CFB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2943-49da-4504-a2f3-a33fb2eb9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DCE546-5192-4233-A1AE-65867062E2D6}">
  <ds:schemaRefs>
    <ds:schemaRef ds:uri="http://schemas.microsoft.com/sharepoint/v3/contenttype/forms"/>
  </ds:schemaRefs>
</ds:datastoreItem>
</file>

<file path=customXml/itemProps3.xml><?xml version="1.0" encoding="utf-8"?>
<ds:datastoreItem xmlns:ds="http://schemas.openxmlformats.org/officeDocument/2006/customXml" ds:itemID="{2E67784D-7C16-4A0D-81F1-07C071D3C36D}">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ebb82943-49da-4504-a2f3-a33fb2eb95f1"/>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Lue tämä ensin</vt:lpstr>
      <vt:lpstr>toimet</vt:lpstr>
      <vt:lpstr>kokooma</vt:lpstr>
      <vt:lpstr>nurmet_kerääjäk_maanparannusk</vt:lpstr>
      <vt:lpstr>lietelannan sijoittaminen</vt:lpstr>
      <vt:lpstr>huuhtouma</vt:lpstr>
      <vt:lpstr>raivaus</vt:lpstr>
      <vt:lpstr>valumavesien_hallinta</vt:lpstr>
      <vt:lpstr>kosteikot</vt:lpstr>
      <vt:lpstr>org&amp;wetland_päästökertoimet</vt:lpstr>
      <vt:lpstr>CRF4.1</vt:lpstr>
      <vt:lpstr>CRF4A</vt:lpstr>
      <vt:lpstr>CRF4(II)</vt:lpstr>
      <vt:lpstr>CRF4(III)</vt:lpstr>
      <vt:lpstr>CRF4B</vt:lpstr>
      <vt:lpstr>CRF3D</vt:lpstr>
      <vt:lpstr>ympkorv_maatalousmaan_</vt:lpstr>
      <vt:lpstr>GWP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Maanavilja Liisa (LUKE)</dc:creator>
  <cp:lastModifiedBy>Juuso Joona</cp:lastModifiedBy>
  <dcterms:created xsi:type="dcterms:W3CDTF">2021-06-02T06:33:58Z</dcterms:created>
  <dcterms:modified xsi:type="dcterms:W3CDTF">2021-09-03T11:30:14Z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0x010100FC273FBDB1AAC448BDBB3CA1302F22C6</vt:lpwstr>
  </property>
</Properties>
</file>